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296078827928d828/Jussiano/2 - PMI_SEPLAN/4 - Calc Custos - Licitação/22 - SMCT/1 - Vigia e Mon Eletron Estação Cultura e Pq Pedreira 02 2026/"/>
    </mc:Choice>
  </mc:AlternateContent>
  <xr:revisionPtr revIDLastSave="3207" documentId="8_{2033DDC7-9D04-4E2D-88FE-51536FF151CB}" xr6:coauthVersionLast="47" xr6:coauthVersionMax="47" xr10:uidLastSave="{7AFFF03F-961F-4230-80D1-7E8B085ED992}"/>
  <bookViews>
    <workbookView xWindow="-120" yWindow="-120" windowWidth="29040" windowHeight="15720" xr2:uid="{00000000-000D-0000-FFFF-FFFF00000000}"/>
  </bookViews>
  <sheets>
    <sheet name="SMS" sheetId="9" r:id="rId1"/>
  </sheets>
  <definedNames>
    <definedName name="_xlnm.Print_Area" localSheetId="0">SMS!$B$1:$I$68</definedName>
    <definedName name="Excel_BuiltIn_Print_Area_1_1">#REF!</definedName>
    <definedName name="_xlnm.Print_Titles" localSheetId="0">SMS!$1:$4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9" l="1"/>
  <c r="H54" i="9"/>
  <c r="H37" i="9"/>
  <c r="F37" i="9"/>
  <c r="F36" i="9"/>
  <c r="A46" i="9"/>
  <c r="A47" i="9" s="1"/>
  <c r="C60" i="9"/>
  <c r="C59" i="9"/>
  <c r="C58" i="9"/>
  <c r="H47" i="9"/>
  <c r="F47" i="9"/>
  <c r="G22" i="9"/>
  <c r="G21" i="9"/>
  <c r="F21" i="9"/>
  <c r="F22" i="9"/>
  <c r="H23" i="9"/>
  <c r="H15" i="9"/>
  <c r="H17" i="9" s="1"/>
  <c r="I15" i="9"/>
  <c r="F42" i="9" l="1"/>
  <c r="H42" i="9"/>
  <c r="H31" i="9"/>
  <c r="H18" i="9"/>
  <c r="F23" i="9"/>
  <c r="F15" i="9"/>
  <c r="F17" i="9" s="1"/>
  <c r="F18" i="9" l="1"/>
  <c r="F31" i="9"/>
  <c r="G15" i="9"/>
  <c r="G23" i="9" l="1"/>
  <c r="G17" i="9" l="1"/>
  <c r="G31" i="9" s="1"/>
  <c r="F32" i="9" l="1"/>
  <c r="G18" i="9"/>
  <c r="F54" i="9" l="1"/>
  <c r="A9" i="9"/>
  <c r="B8" i="9"/>
  <c r="F60" i="9" l="1"/>
  <c r="F59" i="9"/>
  <c r="F58" i="9"/>
  <c r="F61" i="9"/>
  <c r="F57" i="9"/>
  <c r="A10" i="9"/>
  <c r="B9" i="9"/>
  <c r="F62" i="9" l="1"/>
  <c r="F63" i="9" s="1"/>
  <c r="I23" i="9"/>
  <c r="I17" i="9" l="1"/>
  <c r="B10" i="9"/>
  <c r="A11" i="9"/>
  <c r="I18" i="9" l="1"/>
  <c r="I31" i="9"/>
  <c r="A12" i="9"/>
  <c r="B11" i="9"/>
  <c r="H32" i="9" l="1"/>
  <c r="A13" i="9"/>
  <c r="B12" i="9"/>
  <c r="H57" i="9" l="1"/>
  <c r="A14" i="9"/>
  <c r="B13" i="9"/>
  <c r="H61" i="9" l="1"/>
  <c r="H60" i="9"/>
  <c r="H59" i="9"/>
  <c r="H58" i="9"/>
  <c r="A15" i="9"/>
  <c r="B14" i="9"/>
  <c r="D15" i="9" s="1"/>
  <c r="H62" i="9" l="1"/>
  <c r="H63" i="9" s="1"/>
  <c r="B15" i="9"/>
  <c r="A17" i="9"/>
  <c r="A16" i="9"/>
  <c r="B16" i="9" l="1"/>
  <c r="D17" i="9" s="1"/>
  <c r="B17" i="9"/>
  <c r="A18" i="9"/>
  <c r="B35" i="9" s="1"/>
  <c r="B40" i="9" l="1"/>
  <c r="B36" i="9"/>
  <c r="D37" i="9" s="1"/>
  <c r="B60" i="9"/>
  <c r="B54" i="9"/>
  <c r="D58" i="9" s="1"/>
  <c r="B47" i="9"/>
  <c r="B46" i="9"/>
  <c r="B45" i="9"/>
  <c r="B42" i="9"/>
  <c r="B41" i="9"/>
  <c r="B37" i="9"/>
  <c r="B32" i="9"/>
  <c r="B59" i="9"/>
  <c r="B61" i="9"/>
  <c r="B58" i="9"/>
  <c r="B50" i="9"/>
  <c r="D60" i="9" s="1"/>
  <c r="D18" i="9"/>
  <c r="B18" i="9"/>
  <c r="B31" i="9"/>
  <c r="B23" i="9"/>
  <c r="B22" i="9"/>
  <c r="B29" i="9"/>
  <c r="B26" i="9"/>
  <c r="B21" i="9"/>
  <c r="D59" i="9" l="1"/>
  <c r="D61" i="9"/>
  <c r="D57" i="9"/>
  <c r="D47" i="9"/>
  <c r="D42" i="9"/>
  <c r="B63" i="9"/>
  <c r="B53" i="9"/>
  <c r="D54" i="9" s="1"/>
  <c r="D31" i="9"/>
  <c r="B57" i="9"/>
  <c r="B62" i="9"/>
  <c r="D63" i="9" s="1"/>
  <c r="D23" i="9"/>
  <c r="D62" i="9" l="1"/>
</calcChain>
</file>

<file path=xl/sharedStrings.xml><?xml version="1.0" encoding="utf-8"?>
<sst xmlns="http://schemas.openxmlformats.org/spreadsheetml/2006/main" count="109" uniqueCount="65">
  <si>
    <t>MUNICÍPIO DE IJUÍ - PODER EXECUTIVO</t>
  </si>
  <si>
    <t>Encargos Sociais</t>
  </si>
  <si>
    <t>BDI</t>
  </si>
  <si>
    <t>B1.</t>
  </si>
  <si>
    <t>Reduzida Noturna</t>
  </si>
  <si>
    <t>Adicional Noturno</t>
  </si>
  <si>
    <t>Intrajornada</t>
  </si>
  <si>
    <t>Adicional Troca de Uniforme</t>
  </si>
  <si>
    <t>Total Mensal da Remuneração</t>
  </si>
  <si>
    <t>Total Remuneração (sem Adicional Troca de Uniforme e adicional de risco)</t>
  </si>
  <si>
    <t>Beneficios Legais</t>
  </si>
  <si>
    <t>Valor</t>
  </si>
  <si>
    <t>Custo Efetivo Vale Transporte</t>
  </si>
  <si>
    <t>Total Beneficios</t>
  </si>
  <si>
    <t>Total Gasto em Encargos Sociais (R$/mês)</t>
  </si>
  <si>
    <t>Insumos Diversos</t>
  </si>
  <si>
    <t>E</t>
  </si>
  <si>
    <t>Resumo</t>
  </si>
  <si>
    <t>F</t>
  </si>
  <si>
    <t>Valor Mensal do contrato</t>
  </si>
  <si>
    <t>Ijuí/RS,</t>
  </si>
  <si>
    <t>________________________</t>
  </si>
  <si>
    <t>Tempo de Trabalho (Horas de Trabalho/Mês)</t>
  </si>
  <si>
    <t>Remuneração por trabalhador</t>
  </si>
  <si>
    <t>Qtde de Profissionais</t>
  </si>
  <si>
    <t>Total de EPI's e Insumos (R$/mês)</t>
  </si>
  <si>
    <t>Pessoal e EPI's (R$/mês)</t>
  </si>
  <si>
    <t>(Nome Reponsável)</t>
  </si>
  <si>
    <t>(Nome Empresa)</t>
  </si>
  <si>
    <t>Proposta Licitação</t>
  </si>
  <si>
    <t>Orçamento Executivo</t>
  </si>
  <si>
    <t>Para elaboração da sua proposta preencha as células destacadas em amarelo</t>
  </si>
  <si>
    <r>
      <t xml:space="preserve">Salário </t>
    </r>
    <r>
      <rPr>
        <sz val="8"/>
        <color rgb="FF000000"/>
        <rFont val="Calibri"/>
        <family val="2"/>
      </rPr>
      <t>(proporcional ao tempo de trabalho)</t>
    </r>
  </si>
  <si>
    <t>Custo Efetivo Vale Alimentação</t>
  </si>
  <si>
    <t>VALOR TOTAL DO CONTRATO</t>
  </si>
  <si>
    <t>____ de  ______________ de 2026</t>
  </si>
  <si>
    <t>SECRETARIA MUNICIPAL DE CULTURA E TURISMO (SMCT)</t>
  </si>
  <si>
    <t>C</t>
  </si>
  <si>
    <t xml:space="preserve"> </t>
  </si>
  <si>
    <t>D</t>
  </si>
  <si>
    <t xml:space="preserve">   ANEXO 1 - PLANILHA DE CUSTOS - SERVIÇO DE VIGILÂNCIA PATRIMONIAL DESARMADA, VIDEOMONITORAMENTO E ALARMES PARA PARQUE DA PEDREIRA E ESTAÇÃO DE CULTURA E LAZER (SMCT)</t>
  </si>
  <si>
    <t>Valor Diurno (1)</t>
  </si>
  <si>
    <t>Valor Noturno (2)</t>
  </si>
  <si>
    <t>Remuneração de Vigia Desarmado - 2º feira a Domingo das 19 horas as 07 horas</t>
  </si>
  <si>
    <t>Adional de Risco de Vida (20 %)</t>
  </si>
  <si>
    <t>Despesas de Pessoal e EPI's - Vigia (R$/mês) (R$/mês)</t>
  </si>
  <si>
    <t>Despesas de Pessoal e EPI's por turno - Vigia (R$/mês)</t>
  </si>
  <si>
    <t>Despesas de Pessoal e EPI's - Agente monitoramento, Operador de Vídeo (R$/mês)</t>
  </si>
  <si>
    <t>B2.</t>
  </si>
  <si>
    <t>Total Despesas de Pessoal e EPI's - Agente monitoramento e Atendimento de Ocorrencias (R$/mês)</t>
  </si>
  <si>
    <t>Instalação de Equipamentos para Monitoramento eletrônico em Comodato - Alarme</t>
  </si>
  <si>
    <t>Custo estimado para Mobilização de Equipamentos (R$/mês)</t>
  </si>
  <si>
    <t>Total Mensal - Alarme</t>
  </si>
  <si>
    <t>Custo estimado para Locação de Equipamentos (R$/mês)</t>
  </si>
  <si>
    <t>Instalação de Equipamentos para Videomonitoramento Eletronico em Comodato</t>
  </si>
  <si>
    <r>
      <t xml:space="preserve">Orçamento Executivo
</t>
    </r>
    <r>
      <rPr>
        <sz val="10"/>
        <color rgb="FF000000"/>
        <rFont val="Calibri"/>
        <family val="2"/>
      </rPr>
      <t>(R$/Mês)</t>
    </r>
  </si>
  <si>
    <t>Proposta Licitação
(R$/Mês)</t>
  </si>
  <si>
    <t>Total Mensal - Videomonitoramento  (R$/mês)</t>
  </si>
  <si>
    <t>Despesas com Deslocamento (R$/mês)</t>
  </si>
  <si>
    <t>Deslocamento:</t>
  </si>
  <si>
    <t xml:space="preserve">Total Administração Central, Lucro e Tributos (R$/mês) </t>
  </si>
  <si>
    <t>BDI (%)</t>
  </si>
  <si>
    <t>G</t>
  </si>
  <si>
    <t>Despesas de Pessoal e EPI's - Atendimento de Ocorrência, Inspetor Alarmes (R$/mês)</t>
  </si>
  <si>
    <r>
      <t xml:space="preserve">Agente monitoramento e Atendimento de Ocorrencias
</t>
    </r>
    <r>
      <rPr>
        <sz val="10"/>
        <color theme="1"/>
        <rFont val="Calibri"/>
        <family val="2"/>
        <scheme val="minor"/>
      </rPr>
      <t>Estimativa de despesa de pessoal deve corresponder proporcionalmente a necessidade contratual (3 unidades Prediais)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</si>
</sst>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 &quot;R$&quot;\ * #,##0.00_ ;_ &quot;R$&quot;\ * \-#,##0.00_ ;_ &quot;R$&quot;\ * &quot;-&quot;??_ ;_ @_ "/>
    <numFmt numFmtId="166" formatCode="_ * #,##0.00_ ;_ * \-#,##0.00_ ;_ * &quot;-&quot;??_ ;_ @_ "/>
    <numFmt numFmtId="167" formatCode="0.000"/>
    <numFmt numFmtId="168" formatCode="\ d&quot; de &quot;mmmm&quot; de &quot;yyyy"/>
    <numFmt numFmtId="169" formatCode="_(* #,##0.00_);_(* \(#,##0.00\);_(* &quot;-&quot;??_);_(@_)"/>
    <numFmt numFmtId="170" formatCode="0.0000000%"/>
    <numFmt numFmtId="171" formatCode="0.00000000%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6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name val="Calibri Light"/>
      <family val="2"/>
      <scheme val="major"/>
    </font>
    <font>
      <b/>
      <sz val="11"/>
      <name val="Calibri"/>
      <family val="2"/>
    </font>
    <font>
      <i/>
      <sz val="9"/>
      <color indexed="8"/>
      <name val="Calibri"/>
      <family val="2"/>
    </font>
    <font>
      <i/>
      <sz val="10"/>
      <name val="Calibri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15">
    <xf numFmtId="0" fontId="0" fillId="0" borderId="0"/>
    <xf numFmtId="0" fontId="2" fillId="0" borderId="0"/>
    <xf numFmtId="9" fontId="3" fillId="0" borderId="0" applyFont="0" applyFill="0" applyBorder="0" applyAlignment="0" applyProtection="0"/>
    <xf numFmtId="166" fontId="5" fillId="0" borderId="0" applyFill="0" applyBorder="0" applyAlignment="0" applyProtection="0"/>
    <xf numFmtId="9" fontId="5" fillId="0" borderId="0" applyFill="0" applyBorder="0" applyAlignment="0" applyProtection="0"/>
    <xf numFmtId="165" fontId="5" fillId="0" borderId="0" applyFill="0" applyBorder="0" applyAlignment="0" applyProtection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5" fillId="0" borderId="0" applyFill="0" applyBorder="0" applyAlignment="0" applyProtection="0"/>
  </cellStyleXfs>
  <cellXfs count="133">
    <xf numFmtId="0" fontId="0" fillId="0" borderId="0" xfId="0"/>
    <xf numFmtId="0" fontId="2" fillId="0" borderId="0" xfId="1"/>
    <xf numFmtId="0" fontId="8" fillId="4" borderId="0" xfId="1" applyFont="1" applyFill="1"/>
    <xf numFmtId="0" fontId="9" fillId="4" borderId="0" xfId="1" applyFont="1" applyFill="1"/>
    <xf numFmtId="0" fontId="13" fillId="0" borderId="0" xfId="1" applyFont="1"/>
    <xf numFmtId="0" fontId="13" fillId="0" borderId="0" xfId="1" applyFont="1" applyAlignment="1">
      <alignment wrapText="1"/>
    </xf>
    <xf numFmtId="0" fontId="2" fillId="0" borderId="0" xfId="1" applyAlignment="1">
      <alignment vertical="center"/>
    </xf>
    <xf numFmtId="165" fontId="5" fillId="0" borderId="0" xfId="5"/>
    <xf numFmtId="10" fontId="5" fillId="0" borderId="0" xfId="4" applyNumberFormat="1"/>
    <xf numFmtId="0" fontId="15" fillId="3" borderId="0" xfId="1" applyFont="1" applyFill="1"/>
    <xf numFmtId="164" fontId="15" fillId="6" borderId="1" xfId="1" applyNumberFormat="1" applyFont="1" applyFill="1" applyBorder="1" applyAlignment="1" applyProtection="1">
      <alignment horizontal="center" vertical="center"/>
      <protection locked="0"/>
    </xf>
    <xf numFmtId="10" fontId="5" fillId="0" borderId="0" xfId="4" applyNumberFormat="1" applyProtection="1">
      <protection locked="0"/>
    </xf>
    <xf numFmtId="0" fontId="2" fillId="3" borderId="0" xfId="1" applyFill="1" applyProtection="1">
      <protection locked="0"/>
    </xf>
    <xf numFmtId="0" fontId="2" fillId="0" borderId="0" xfId="1" applyProtection="1">
      <protection locked="0"/>
    </xf>
    <xf numFmtId="0" fontId="17" fillId="3" borderId="0" xfId="1" applyFont="1" applyFill="1" applyAlignment="1" applyProtection="1">
      <alignment horizontal="center"/>
      <protection locked="0"/>
    </xf>
    <xf numFmtId="0" fontId="17" fillId="3" borderId="0" xfId="1" applyFont="1" applyFill="1" applyProtection="1">
      <protection locked="0"/>
    </xf>
    <xf numFmtId="0" fontId="15" fillId="3" borderId="0" xfId="1" applyFont="1" applyFill="1" applyAlignment="1" applyProtection="1">
      <alignment horizontal="center"/>
      <protection locked="0"/>
    </xf>
    <xf numFmtId="0" fontId="15" fillId="3" borderId="0" xfId="1" applyFont="1" applyFill="1" applyProtection="1">
      <protection locked="0"/>
    </xf>
    <xf numFmtId="164" fontId="22" fillId="5" borderId="11" xfId="5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8" fontId="17" fillId="6" borderId="0" xfId="1" applyNumberFormat="1" applyFont="1" applyFill="1" applyAlignment="1" applyProtection="1">
      <alignment horizontal="left"/>
      <protection locked="0"/>
    </xf>
    <xf numFmtId="0" fontId="2" fillId="6" borderId="0" xfId="1" applyFill="1" applyProtection="1">
      <protection locked="0"/>
    </xf>
    <xf numFmtId="0" fontId="15" fillId="6" borderId="0" xfId="1" applyFont="1" applyFill="1" applyAlignment="1" applyProtection="1">
      <alignment horizontal="center"/>
      <protection locked="0"/>
    </xf>
    <xf numFmtId="0" fontId="2" fillId="6" borderId="0" xfId="1" applyFill="1" applyAlignment="1" applyProtection="1">
      <alignment horizontal="right"/>
      <protection locked="0"/>
    </xf>
    <xf numFmtId="7" fontId="13" fillId="0" borderId="0" xfId="1" applyNumberFormat="1" applyFont="1"/>
    <xf numFmtId="0" fontId="12" fillId="2" borderId="0" xfId="1" applyFont="1" applyFill="1"/>
    <xf numFmtId="165" fontId="14" fillId="2" borderId="6" xfId="1" applyNumberFormat="1" applyFont="1" applyFill="1" applyBorder="1" applyAlignment="1">
      <alignment horizontal="centerContinuous" vertical="center" wrapText="1"/>
    </xf>
    <xf numFmtId="0" fontId="4" fillId="5" borderId="0" xfId="1" applyFont="1" applyFill="1" applyAlignment="1">
      <alignment horizontal="center" vertical="center"/>
    </xf>
    <xf numFmtId="0" fontId="16" fillId="5" borderId="6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vertical="center"/>
    </xf>
    <xf numFmtId="0" fontId="13" fillId="3" borderId="1" xfId="1" applyFont="1" applyFill="1" applyBorder="1" applyAlignment="1">
      <alignment vertical="center"/>
    </xf>
    <xf numFmtId="167" fontId="18" fillId="3" borderId="1" xfId="3" applyNumberFormat="1" applyFont="1" applyFill="1" applyBorder="1" applyAlignment="1" applyProtection="1">
      <alignment horizontal="center" vertical="center"/>
    </xf>
    <xf numFmtId="0" fontId="13" fillId="3" borderId="1" xfId="1" applyFont="1" applyFill="1" applyBorder="1" applyAlignment="1">
      <alignment vertical="center" wrapText="1"/>
    </xf>
    <xf numFmtId="164" fontId="15" fillId="3" borderId="1" xfId="1" applyNumberFormat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vertical="center" wrapText="1"/>
    </xf>
    <xf numFmtId="0" fontId="16" fillId="5" borderId="1" xfId="1" applyFont="1" applyFill="1" applyBorder="1" applyAlignment="1">
      <alignment vertical="center" wrapText="1"/>
    </xf>
    <xf numFmtId="164" fontId="6" fillId="5" borderId="1" xfId="5" applyNumberFormat="1" applyFont="1" applyFill="1" applyBorder="1" applyAlignment="1" applyProtection="1">
      <alignment horizontal="center" vertical="center"/>
    </xf>
    <xf numFmtId="0" fontId="17" fillId="3" borderId="1" xfId="1" applyFont="1" applyFill="1" applyBorder="1" applyAlignment="1">
      <alignment vertical="center"/>
    </xf>
    <xf numFmtId="0" fontId="15" fillId="3" borderId="1" xfId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vertical="center"/>
    </xf>
    <xf numFmtId="0" fontId="14" fillId="5" borderId="1" xfId="1" applyFont="1" applyFill="1" applyBorder="1" applyAlignment="1">
      <alignment vertical="center" wrapText="1"/>
    </xf>
    <xf numFmtId="164" fontId="6" fillId="5" borderId="7" xfId="5" applyNumberFormat="1" applyFont="1" applyFill="1" applyBorder="1" applyAlignment="1" applyProtection="1">
      <alignment horizontal="center" vertical="center"/>
    </xf>
    <xf numFmtId="0" fontId="19" fillId="5" borderId="10" xfId="1" applyFont="1" applyFill="1" applyBorder="1" applyAlignment="1">
      <alignment vertical="center"/>
    </xf>
    <xf numFmtId="0" fontId="20" fillId="5" borderId="10" xfId="1" applyFont="1" applyFill="1" applyBorder="1" applyAlignment="1">
      <alignment vertical="center" wrapText="1"/>
    </xf>
    <xf numFmtId="164" fontId="22" fillId="5" borderId="11" xfId="5" applyNumberFormat="1" applyFont="1" applyFill="1" applyBorder="1" applyAlignment="1" applyProtection="1">
      <alignment horizontal="center" vertical="center"/>
    </xf>
    <xf numFmtId="0" fontId="2" fillId="5" borderId="2" xfId="1" applyFill="1" applyBorder="1"/>
    <xf numFmtId="0" fontId="14" fillId="5" borderId="2" xfId="1" applyFont="1" applyFill="1" applyBorder="1" applyAlignment="1">
      <alignment vertical="center" wrapText="1"/>
    </xf>
    <xf numFmtId="0" fontId="13" fillId="5" borderId="2" xfId="1" applyFont="1" applyFill="1" applyBorder="1"/>
    <xf numFmtId="0" fontId="13" fillId="5" borderId="2" xfId="1" applyFont="1" applyFill="1" applyBorder="1" applyAlignment="1">
      <alignment wrapText="1"/>
    </xf>
    <xf numFmtId="165" fontId="14" fillId="5" borderId="2" xfId="1" applyNumberFormat="1" applyFont="1" applyFill="1" applyBorder="1" applyAlignment="1">
      <alignment horizontal="center"/>
    </xf>
    <xf numFmtId="0" fontId="2" fillId="5" borderId="1" xfId="1" applyFill="1" applyBorder="1" applyAlignment="1">
      <alignment vertical="center"/>
    </xf>
    <xf numFmtId="0" fontId="15" fillId="0" borderId="1" xfId="1" applyFont="1" applyBorder="1" applyAlignment="1">
      <alignment vertical="center" wrapText="1"/>
    </xf>
    <xf numFmtId="164" fontId="15" fillId="0" borderId="7" xfId="1" applyNumberFormat="1" applyFont="1" applyBorder="1" applyAlignment="1">
      <alignment horizontal="center" vertical="center"/>
    </xf>
    <xf numFmtId="0" fontId="2" fillId="5" borderId="1" xfId="1" applyFill="1" applyBorder="1"/>
    <xf numFmtId="0" fontId="16" fillId="5" borderId="1" xfId="1" applyFont="1" applyFill="1" applyBorder="1" applyAlignment="1">
      <alignment wrapText="1"/>
    </xf>
    <xf numFmtId="164" fontId="16" fillId="5" borderId="1" xfId="1" applyNumberFormat="1" applyFont="1" applyFill="1" applyBorder="1" applyAlignment="1">
      <alignment horizontal="center"/>
    </xf>
    <xf numFmtId="0" fontId="2" fillId="5" borderId="5" xfId="1" applyFill="1" applyBorder="1"/>
    <xf numFmtId="0" fontId="14" fillId="5" borderId="5" xfId="1" applyFont="1" applyFill="1" applyBorder="1" applyAlignment="1">
      <alignment vertical="center" wrapText="1"/>
    </xf>
    <xf numFmtId="0" fontId="13" fillId="5" borderId="5" xfId="1" applyFont="1" applyFill="1" applyBorder="1"/>
    <xf numFmtId="0" fontId="13" fillId="5" borderId="5" xfId="1" applyFont="1" applyFill="1" applyBorder="1" applyAlignment="1">
      <alignment wrapText="1"/>
    </xf>
    <xf numFmtId="0" fontId="2" fillId="5" borderId="4" xfId="1" applyFill="1" applyBorder="1"/>
    <xf numFmtId="0" fontId="13" fillId="3" borderId="4" xfId="1" applyFont="1" applyFill="1" applyBorder="1" applyAlignment="1">
      <alignment wrapText="1"/>
    </xf>
    <xf numFmtId="164" fontId="15" fillId="3" borderId="8" xfId="1" applyNumberFormat="1" applyFont="1" applyFill="1" applyBorder="1" applyAlignment="1">
      <alignment horizontal="center"/>
    </xf>
    <xf numFmtId="0" fontId="4" fillId="5" borderId="2" xfId="1" applyFont="1" applyFill="1" applyBorder="1"/>
    <xf numFmtId="0" fontId="14" fillId="5" borderId="2" xfId="1" applyFont="1" applyFill="1" applyBorder="1" applyAlignment="1">
      <alignment wrapText="1"/>
    </xf>
    <xf numFmtId="0" fontId="14" fillId="5" borderId="2" xfId="1" applyFont="1" applyFill="1" applyBorder="1"/>
    <xf numFmtId="0" fontId="23" fillId="5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 wrapText="1"/>
    </xf>
    <xf numFmtId="164" fontId="31" fillId="3" borderId="7" xfId="2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left" vertical="center" wrapText="1"/>
    </xf>
    <xf numFmtId="164" fontId="30" fillId="5" borderId="1" xfId="2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center" wrapText="1"/>
    </xf>
    <xf numFmtId="1" fontId="29" fillId="2" borderId="0" xfId="0" applyNumberFormat="1" applyFont="1" applyFill="1" applyAlignment="1">
      <alignment horizontal="center" vertical="center" wrapText="1"/>
    </xf>
    <xf numFmtId="7" fontId="14" fillId="2" borderId="6" xfId="1" applyNumberFormat="1" applyFont="1" applyFill="1" applyBorder="1" applyAlignment="1">
      <alignment horizontal="centerContinuous" vertical="center" wrapText="1"/>
    </xf>
    <xf numFmtId="0" fontId="0" fillId="2" borderId="0" xfId="0" applyFill="1"/>
    <xf numFmtId="0" fontId="26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171" fontId="13" fillId="0" borderId="0" xfId="2" applyNumberFormat="1" applyFont="1" applyAlignment="1" applyProtection="1">
      <alignment wrapText="1"/>
    </xf>
    <xf numFmtId="165" fontId="4" fillId="2" borderId="0" xfId="0" applyNumberFormat="1" applyFont="1" applyFill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165" fontId="16" fillId="7" borderId="0" xfId="1" applyNumberFormat="1" applyFont="1" applyFill="1" applyAlignment="1">
      <alignment horizontal="centerContinuous" vertical="center" wrapText="1"/>
    </xf>
    <xf numFmtId="0" fontId="9" fillId="4" borderId="0" xfId="1" applyFont="1" applyFill="1" applyAlignment="1">
      <alignment vertical="center"/>
    </xf>
    <xf numFmtId="0" fontId="10" fillId="4" borderId="0" xfId="1" applyFont="1" applyFill="1" applyAlignment="1">
      <alignment wrapText="1"/>
    </xf>
    <xf numFmtId="0" fontId="9" fillId="4" borderId="3" xfId="1" applyFont="1" applyFill="1" applyBorder="1"/>
    <xf numFmtId="0" fontId="6" fillId="4" borderId="3" xfId="1" applyFont="1" applyFill="1" applyBorder="1" applyAlignment="1">
      <alignment wrapText="1"/>
    </xf>
    <xf numFmtId="0" fontId="6" fillId="4" borderId="3" xfId="1" applyFont="1" applyFill="1" applyBorder="1"/>
    <xf numFmtId="0" fontId="7" fillId="4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9" fillId="4" borderId="0" xfId="1" applyFont="1" applyFill="1" applyAlignment="1">
      <alignment horizontal="center"/>
    </xf>
    <xf numFmtId="0" fontId="21" fillId="5" borderId="10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27" fillId="5" borderId="0" xfId="1" applyFont="1" applyFill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1" fontId="29" fillId="5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wrapText="1"/>
    </xf>
    <xf numFmtId="0" fontId="16" fillId="5" borderId="9" xfId="1" applyFont="1" applyFill="1" applyBorder="1" applyAlignment="1">
      <alignment horizontal="center" wrapText="1"/>
    </xf>
    <xf numFmtId="0" fontId="34" fillId="2" borderId="4" xfId="0" applyFont="1" applyFill="1" applyBorder="1" applyAlignment="1">
      <alignment horizontal="left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35" fillId="2" borderId="1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164" fontId="30" fillId="2" borderId="1" xfId="2" applyNumberFormat="1" applyFont="1" applyFill="1" applyBorder="1" applyAlignment="1" applyProtection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7" fontId="13" fillId="0" borderId="7" xfId="0" applyNumberFormat="1" applyFont="1" applyBorder="1" applyAlignment="1">
      <alignment horizontal="center" vertical="center"/>
    </xf>
    <xf numFmtId="170" fontId="30" fillId="2" borderId="1" xfId="2" applyNumberFormat="1" applyFont="1" applyFill="1" applyBorder="1" applyAlignment="1" applyProtection="1">
      <alignment horizontal="center" vertical="center"/>
    </xf>
    <xf numFmtId="7" fontId="14" fillId="2" borderId="13" xfId="1" applyNumberFormat="1" applyFont="1" applyFill="1" applyBorder="1" applyAlignment="1">
      <alignment horizontal="center" vertical="center" wrapText="1"/>
    </xf>
    <xf numFmtId="7" fontId="14" fillId="2" borderId="14" xfId="1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 applyProtection="1">
      <alignment horizontal="center" vertical="center"/>
      <protection locked="0"/>
    </xf>
  </cellXfs>
  <cellStyles count="15">
    <cellStyle name="Moeda 2" xfId="5" xr:uid="{773E965B-74AB-44C1-9541-802FCD253D9E}"/>
    <cellStyle name="Moeda 3" xfId="11" xr:uid="{B1FB82D9-5A4C-48A8-B9EE-2C58CC2C89F0}"/>
    <cellStyle name="Normal" xfId="0" builtinId="0"/>
    <cellStyle name="Normal 2 2" xfId="7" xr:uid="{0B238844-A876-4963-8E97-14D3D99B86AC}"/>
    <cellStyle name="Normal 3" xfId="1" xr:uid="{00000000-0005-0000-0000-000001000000}"/>
    <cellStyle name="Normal 3 2" xfId="6" xr:uid="{12C9FB42-38C4-4029-956B-347217E68BB4}"/>
    <cellStyle name="Porcentagem" xfId="2" builtinId="5"/>
    <cellStyle name="Porcentagem 2" xfId="4" xr:uid="{9488FE84-486A-4B38-93C0-947B27FAD129}"/>
    <cellStyle name="Porcentagem 2 2" xfId="8" xr:uid="{ADBCA961-8E1F-4A2B-A231-F3C162C1B4CA}"/>
    <cellStyle name="Porcentagem 3" xfId="14" xr:uid="{47A8B28C-B2FC-485B-9B74-1F4628138987}"/>
    <cellStyle name="Vírgula 2" xfId="3" xr:uid="{EE4A958E-0A4A-450B-A030-F761FBD38CCE}"/>
    <cellStyle name="Vírgula 2 2" xfId="9" xr:uid="{E370A60D-8103-4815-BE22-B434AF70F4F1}"/>
    <cellStyle name="Vírgula 2 2 2" xfId="12" xr:uid="{F0770407-EAA1-4091-8807-97674E59D6A4}"/>
    <cellStyle name="Vírgula 3" xfId="10" xr:uid="{96536CFD-07F4-4D11-AD0F-B833C7EE729B}"/>
    <cellStyle name="Vírgula 4" xfId="13" xr:uid="{28B68FA5-365D-44E1-A11A-4AF82E7FE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2</xdr:col>
          <xdr:colOff>180975</xdr:colOff>
          <xdr:row>2</xdr:row>
          <xdr:rowOff>209550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3CF0-3969-4B2C-A2F7-43F52E391863}">
  <sheetPr codeName="Planilha4"/>
  <dimension ref="A1:Q83"/>
  <sheetViews>
    <sheetView showGridLines="0" tabSelected="1" zoomScaleNormal="100" zoomScaleSheetLayoutView="175" workbookViewId="0">
      <pane ySplit="6" topLeftCell="A7" activePane="bottomLeft" state="frozen"/>
      <selection pane="bottomLeft" activeCell="F35" sqref="F35:G35"/>
    </sheetView>
  </sheetViews>
  <sheetFormatPr defaultRowHeight="15" x14ac:dyDescent="0.25"/>
  <cols>
    <col min="1" max="1" width="1.140625" style="1" customWidth="1"/>
    <col min="2" max="2" width="5.5703125" style="1" customWidth="1"/>
    <col min="3" max="3" width="36.140625" style="5" customWidth="1"/>
    <col min="4" max="4" width="14.7109375" style="4" customWidth="1"/>
    <col min="5" max="5" width="11.5703125" style="5" customWidth="1"/>
    <col min="6" max="8" width="13" style="5" customWidth="1"/>
    <col min="9" max="9" width="13" style="4" customWidth="1"/>
    <col min="10" max="16384" width="9.140625" style="1"/>
  </cols>
  <sheetData>
    <row r="1" spans="1:16" ht="18" x14ac:dyDescent="0.25">
      <c r="B1" s="92" t="s">
        <v>0</v>
      </c>
      <c r="C1" s="92"/>
      <c r="D1" s="92"/>
      <c r="E1" s="92"/>
      <c r="F1" s="92"/>
      <c r="G1" s="92"/>
      <c r="H1" s="92"/>
      <c r="I1" s="92"/>
      <c r="J1" s="2"/>
      <c r="K1" s="2"/>
      <c r="L1" s="2"/>
      <c r="M1" s="2"/>
      <c r="N1" s="2"/>
      <c r="O1" s="2"/>
      <c r="P1" s="2"/>
    </row>
    <row r="2" spans="1:16" ht="15.75" x14ac:dyDescent="0.25">
      <c r="B2" s="87"/>
      <c r="C2" s="93" t="s">
        <v>36</v>
      </c>
      <c r="D2" s="93"/>
      <c r="E2" s="93"/>
      <c r="F2" s="93"/>
      <c r="G2" s="93"/>
      <c r="H2" s="93"/>
      <c r="I2" s="93"/>
      <c r="J2" s="3"/>
      <c r="K2" s="3"/>
      <c r="L2" s="3"/>
      <c r="M2" s="3"/>
      <c r="N2" s="3"/>
      <c r="O2" s="3"/>
      <c r="P2" s="3"/>
    </row>
    <row r="3" spans="1:16" ht="48" customHeight="1" x14ac:dyDescent="0.25">
      <c r="B3" s="88"/>
      <c r="C3" s="94" t="s">
        <v>40</v>
      </c>
      <c r="D3" s="94"/>
      <c r="E3" s="94"/>
      <c r="F3" s="94"/>
      <c r="G3" s="94"/>
      <c r="H3" s="94"/>
      <c r="I3" s="94"/>
      <c r="J3" s="3"/>
      <c r="K3" s="3"/>
      <c r="L3" s="3"/>
      <c r="M3" s="3"/>
      <c r="N3" s="3"/>
      <c r="O3" s="3"/>
      <c r="P3" s="3"/>
    </row>
    <row r="4" spans="1:16" ht="4.5" customHeight="1" x14ac:dyDescent="0.25">
      <c r="B4" s="89"/>
      <c r="C4" s="90"/>
      <c r="D4" s="91"/>
      <c r="E4" s="90"/>
      <c r="F4" s="90"/>
      <c r="G4" s="90"/>
      <c r="H4" s="90"/>
      <c r="I4" s="91"/>
      <c r="J4" s="3"/>
      <c r="K4" s="3"/>
      <c r="L4" s="95"/>
      <c r="M4" s="95"/>
      <c r="N4" s="3"/>
      <c r="O4" s="3"/>
      <c r="P4" s="3"/>
    </row>
    <row r="5" spans="1:16" customFormat="1" ht="20.25" customHeight="1" x14ac:dyDescent="0.25">
      <c r="A5" s="19"/>
      <c r="B5" s="102" t="s">
        <v>31</v>
      </c>
      <c r="C5" s="102"/>
      <c r="D5" s="102"/>
      <c r="E5" s="102"/>
      <c r="F5" s="102"/>
      <c r="G5" s="102"/>
      <c r="H5" s="102"/>
      <c r="I5" s="102"/>
    </row>
    <row r="6" spans="1:16" ht="32.25" customHeight="1" x14ac:dyDescent="0.35">
      <c r="B6" s="25"/>
      <c r="C6" s="25"/>
      <c r="D6" s="25"/>
      <c r="E6" s="25"/>
      <c r="F6" s="26" t="s">
        <v>30</v>
      </c>
      <c r="G6" s="26"/>
      <c r="H6" s="86" t="s">
        <v>29</v>
      </c>
      <c r="I6" s="86"/>
    </row>
    <row r="7" spans="1:16" ht="28.5" customHeight="1" x14ac:dyDescent="0.25">
      <c r="B7" s="27"/>
      <c r="C7" s="98" t="s">
        <v>43</v>
      </c>
      <c r="D7" s="98"/>
      <c r="E7" s="98"/>
      <c r="F7" s="28" t="s">
        <v>41</v>
      </c>
      <c r="G7" s="28" t="s">
        <v>42</v>
      </c>
      <c r="H7" s="28" t="s">
        <v>41</v>
      </c>
      <c r="I7" s="28" t="s">
        <v>42</v>
      </c>
    </row>
    <row r="8" spans="1:16" x14ac:dyDescent="0.25">
      <c r="A8" s="6" t="s">
        <v>3</v>
      </c>
      <c r="B8" s="29" t="str">
        <f>CONCATENATE(A8,COUNTIF($A$6:A8,A8))</f>
        <v>B1.1</v>
      </c>
      <c r="C8" s="30" t="s">
        <v>22</v>
      </c>
      <c r="D8" s="99"/>
      <c r="E8" s="99"/>
      <c r="F8" s="31">
        <v>207.69200000000001</v>
      </c>
      <c r="G8" s="31">
        <v>207.69200000000001</v>
      </c>
      <c r="H8" s="31">
        <v>207.69200000000001</v>
      </c>
      <c r="I8" s="31">
        <v>207.69200000000001</v>
      </c>
    </row>
    <row r="9" spans="1:16" x14ac:dyDescent="0.25">
      <c r="A9" s="6" t="str">
        <f>A8</f>
        <v>B1.</v>
      </c>
      <c r="B9" s="29" t="str">
        <f>CONCATENATE(A9,COUNTIF($A$6:A9,A9))</f>
        <v>B1.2</v>
      </c>
      <c r="C9" s="32" t="s">
        <v>32</v>
      </c>
      <c r="D9" s="99"/>
      <c r="E9" s="99"/>
      <c r="F9" s="33">
        <v>1642</v>
      </c>
      <c r="G9" s="33">
        <v>1642</v>
      </c>
      <c r="H9" s="10"/>
      <c r="I9" s="10"/>
    </row>
    <row r="10" spans="1:16" s="6" customFormat="1" x14ac:dyDescent="0.25">
      <c r="A10" s="6" t="str">
        <f>A9</f>
        <v>B1.</v>
      </c>
      <c r="B10" s="29" t="str">
        <f>CONCATENATE(A10,COUNTIF($A$6:A10,A10))</f>
        <v>B1.3</v>
      </c>
      <c r="C10" s="32" t="s">
        <v>44</v>
      </c>
      <c r="D10" s="99"/>
      <c r="E10" s="99"/>
      <c r="F10" s="33">
        <v>328.4</v>
      </c>
      <c r="G10" s="33">
        <v>328.4</v>
      </c>
      <c r="H10" s="10"/>
      <c r="I10" s="10"/>
    </row>
    <row r="11" spans="1:16" s="6" customFormat="1" x14ac:dyDescent="0.25">
      <c r="A11" s="6" t="str">
        <f>A10</f>
        <v>B1.</v>
      </c>
      <c r="B11" s="29" t="str">
        <f>CONCATENATE(A11,COUNTIF($A$6:A11,A11))</f>
        <v>B1.4</v>
      </c>
      <c r="C11" s="32" t="s">
        <v>4</v>
      </c>
      <c r="D11" s="99"/>
      <c r="E11" s="99"/>
      <c r="F11" s="33">
        <v>0</v>
      </c>
      <c r="G11" s="33">
        <v>274.45</v>
      </c>
      <c r="H11" s="10"/>
      <c r="I11" s="10"/>
    </row>
    <row r="12" spans="1:16" s="6" customFormat="1" x14ac:dyDescent="0.25">
      <c r="A12" s="6" t="str">
        <f t="shared" ref="A12:A18" si="0">A11</f>
        <v>B1.</v>
      </c>
      <c r="B12" s="29" t="str">
        <f>CONCATENATE(A12,COUNTIF($A$6:A12,A12))</f>
        <v>B1.5</v>
      </c>
      <c r="C12" s="32" t="s">
        <v>5</v>
      </c>
      <c r="D12" s="99"/>
      <c r="E12" s="101"/>
      <c r="F12" s="33">
        <v>0</v>
      </c>
      <c r="G12" s="33">
        <v>213.46</v>
      </c>
      <c r="H12" s="10"/>
      <c r="I12" s="10"/>
    </row>
    <row r="13" spans="1:16" s="6" customFormat="1" x14ac:dyDescent="0.25">
      <c r="A13" s="6" t="str">
        <f t="shared" si="0"/>
        <v>B1.</v>
      </c>
      <c r="B13" s="29" t="str">
        <f>CONCATENATE(A13,COUNTIF($A$6:A13,A13))</f>
        <v>B1.6</v>
      </c>
      <c r="C13" s="34" t="s">
        <v>6</v>
      </c>
      <c r="D13" s="99"/>
      <c r="E13" s="99"/>
      <c r="F13" s="33">
        <v>67.77</v>
      </c>
      <c r="G13" s="33">
        <v>67.77</v>
      </c>
      <c r="H13" s="10"/>
      <c r="I13" s="10"/>
    </row>
    <row r="14" spans="1:16" s="6" customFormat="1" x14ac:dyDescent="0.25">
      <c r="A14" s="6" t="str">
        <f t="shared" si="0"/>
        <v>B1.</v>
      </c>
      <c r="B14" s="29" t="str">
        <f>CONCATENATE(A14,COUNTIF($A$6:A14,A14))</f>
        <v>B1.7</v>
      </c>
      <c r="C14" s="34" t="s">
        <v>7</v>
      </c>
      <c r="D14" s="99"/>
      <c r="E14" s="99"/>
      <c r="F14" s="33">
        <v>29.65</v>
      </c>
      <c r="G14" s="33">
        <v>29.65</v>
      </c>
      <c r="H14" s="10"/>
      <c r="I14" s="10"/>
    </row>
    <row r="15" spans="1:16" s="6" customFormat="1" x14ac:dyDescent="0.25">
      <c r="A15" s="6" t="str">
        <f t="shared" si="0"/>
        <v>B1.</v>
      </c>
      <c r="B15" s="29" t="str">
        <f>CONCATENATE(A15,COUNTIF($A$6:A15,A15))</f>
        <v>B1.8</v>
      </c>
      <c r="C15" s="35" t="s">
        <v>23</v>
      </c>
      <c r="D15" s="97" t="str">
        <f>CONCATENATE("Soma (",B9," : ",B14,")")</f>
        <v>Soma (B1.2 : B1.7)</v>
      </c>
      <c r="E15" s="97"/>
      <c r="F15" s="36">
        <f>ROUND(SUM(F9:F14),2)</f>
        <v>2067.8200000000002</v>
      </c>
      <c r="G15" s="36">
        <f>ROUND(SUM(G9:G14),2)</f>
        <v>2555.73</v>
      </c>
      <c r="H15" s="36">
        <f>ROUND(SUM(H9:H14),2)</f>
        <v>0</v>
      </c>
      <c r="I15" s="36">
        <f>ROUND(SUM(I9:I14),2)</f>
        <v>0</v>
      </c>
    </row>
    <row r="16" spans="1:16" s="6" customFormat="1" x14ac:dyDescent="0.25">
      <c r="A16" s="6" t="str">
        <f t="shared" si="0"/>
        <v>B1.</v>
      </c>
      <c r="B16" s="37" t="str">
        <f>CONCATENATE(A16,COUNTIF($A$6:A16,A16))</f>
        <v>B1.9</v>
      </c>
      <c r="C16" s="34" t="s">
        <v>24</v>
      </c>
      <c r="D16" s="100"/>
      <c r="E16" s="100"/>
      <c r="F16" s="38">
        <v>2</v>
      </c>
      <c r="G16" s="38">
        <v>2</v>
      </c>
      <c r="H16" s="38">
        <v>2</v>
      </c>
      <c r="I16" s="38">
        <v>2</v>
      </c>
    </row>
    <row r="17" spans="1:9" s="6" customFormat="1" x14ac:dyDescent="0.25">
      <c r="A17" s="6" t="str">
        <f>A15</f>
        <v>B1.</v>
      </c>
      <c r="B17" s="39" t="str">
        <f>CONCATENATE(A17,COUNTIF($A$6:A17,A17))</f>
        <v>B1.10</v>
      </c>
      <c r="C17" s="40" t="s">
        <v>8</v>
      </c>
      <c r="D17" s="97" t="str">
        <f>CONCATENATE(B15," x ",B16)</f>
        <v>B1.8 x B1.9</v>
      </c>
      <c r="E17" s="97"/>
      <c r="F17" s="41">
        <f>SUM(F15)*F16</f>
        <v>4135.6400000000003</v>
      </c>
      <c r="G17" s="41">
        <f>SUM(G15)*G16</f>
        <v>5111.46</v>
      </c>
      <c r="H17" s="41">
        <f>SUM(H15)*H16</f>
        <v>0</v>
      </c>
      <c r="I17" s="41">
        <f>SUM(I15)*I16</f>
        <v>0</v>
      </c>
    </row>
    <row r="18" spans="1:9" s="6" customFormat="1" ht="24" hidden="1" x14ac:dyDescent="0.25">
      <c r="A18" s="6" t="str">
        <f t="shared" si="0"/>
        <v>B1.</v>
      </c>
      <c r="B18" s="42" t="str">
        <f>CONCATENATE(A18,COUNTIF($A$6:A18,A18))</f>
        <v>B1.11</v>
      </c>
      <c r="C18" s="43" t="s">
        <v>9</v>
      </c>
      <c r="D18" s="96" t="str">
        <f>CONCATENATE(B17," - ((",B10," +",B14,") x ",B16)</f>
        <v>B1.10 - ((B1.3 +B1.7) x B1.9</v>
      </c>
      <c r="E18" s="96"/>
      <c r="F18" s="44">
        <f>F17-((F10+F14)*F16)</f>
        <v>3419.5400000000004</v>
      </c>
      <c r="G18" s="44">
        <f>G17-((G10+G14)*G16)</f>
        <v>4395.3600000000006</v>
      </c>
      <c r="H18" s="18">
        <f>H17-((H10+H14)*H16)</f>
        <v>0</v>
      </c>
      <c r="I18" s="18">
        <f>I17-((I10+I14)*I16)</f>
        <v>0</v>
      </c>
    </row>
    <row r="19" spans="1:9" ht="5.25" customHeight="1" x14ac:dyDescent="0.25">
      <c r="H19" s="4"/>
    </row>
    <row r="20" spans="1:9" x14ac:dyDescent="0.25">
      <c r="B20" s="45"/>
      <c r="C20" s="46" t="s">
        <v>10</v>
      </c>
      <c r="D20" s="47"/>
      <c r="E20" s="48"/>
      <c r="F20" s="49" t="s">
        <v>11</v>
      </c>
      <c r="G20" s="49" t="s">
        <v>11</v>
      </c>
      <c r="H20" s="49" t="s">
        <v>11</v>
      </c>
      <c r="I20" s="49" t="s">
        <v>11</v>
      </c>
    </row>
    <row r="21" spans="1:9" s="6" customFormat="1" x14ac:dyDescent="0.25">
      <c r="A21" s="6" t="s">
        <v>3</v>
      </c>
      <c r="B21" s="50" t="str">
        <f>CONCATENATE(A21,COUNTIF($A$6:A21,A21))</f>
        <v>B1.12</v>
      </c>
      <c r="C21" s="51" t="s">
        <v>12</v>
      </c>
      <c r="D21" s="107"/>
      <c r="E21" s="108"/>
      <c r="F21" s="52">
        <f>162.96</f>
        <v>162.96</v>
      </c>
      <c r="G21" s="52">
        <f>162.96</f>
        <v>162.96</v>
      </c>
      <c r="H21" s="10"/>
      <c r="I21" s="10"/>
    </row>
    <row r="22" spans="1:9" x14ac:dyDescent="0.25">
      <c r="A22" s="6" t="s">
        <v>3</v>
      </c>
      <c r="B22" s="50" t="str">
        <f>CONCATENATE(A22,COUNTIF($A$6:A22,A22))</f>
        <v>B1.13</v>
      </c>
      <c r="C22" s="51" t="s">
        <v>33</v>
      </c>
      <c r="D22" s="107"/>
      <c r="E22" s="108"/>
      <c r="F22" s="52">
        <f>750.96</f>
        <v>750.96</v>
      </c>
      <c r="G22" s="52">
        <f>750.96</f>
        <v>750.96</v>
      </c>
      <c r="H22" s="10"/>
      <c r="I22" s="10"/>
    </row>
    <row r="23" spans="1:9" x14ac:dyDescent="0.25">
      <c r="A23" s="6" t="s">
        <v>3</v>
      </c>
      <c r="B23" s="53" t="str">
        <f>CONCATENATE(A23,COUNTIF($A$6:A23,A23))</f>
        <v>B1.14</v>
      </c>
      <c r="C23" s="54" t="s">
        <v>13</v>
      </c>
      <c r="D23" s="112" t="str">
        <f>CONCATENATE(B21," + ",B22)</f>
        <v>B1.12 + B1.13</v>
      </c>
      <c r="E23" s="113"/>
      <c r="F23" s="55">
        <f>F22+F21</f>
        <v>913.92000000000007</v>
      </c>
      <c r="G23" s="55">
        <f>G22+G21</f>
        <v>913.92000000000007</v>
      </c>
      <c r="H23" s="55">
        <f>H22+H21</f>
        <v>0</v>
      </c>
      <c r="I23" s="55">
        <f>I22+I21</f>
        <v>0</v>
      </c>
    </row>
    <row r="24" spans="1:9" ht="6.75" customHeight="1" x14ac:dyDescent="0.25">
      <c r="H24" s="4"/>
    </row>
    <row r="25" spans="1:9" x14ac:dyDescent="0.25">
      <c r="B25" s="56"/>
      <c r="C25" s="57" t="s">
        <v>1</v>
      </c>
      <c r="D25" s="58"/>
      <c r="E25" s="59"/>
      <c r="F25" s="49" t="s">
        <v>11</v>
      </c>
      <c r="G25" s="49" t="s">
        <v>11</v>
      </c>
      <c r="H25" s="49" t="s">
        <v>11</v>
      </c>
      <c r="I25" s="49" t="s">
        <v>11</v>
      </c>
    </row>
    <row r="26" spans="1:9" x14ac:dyDescent="0.25">
      <c r="A26" s="6" t="s">
        <v>3</v>
      </c>
      <c r="B26" s="60" t="str">
        <f>CONCATENATE(A26,COUNTIF($A$6:A26,A26))</f>
        <v>B1.15</v>
      </c>
      <c r="C26" s="61" t="s">
        <v>14</v>
      </c>
      <c r="D26" s="109"/>
      <c r="E26" s="109"/>
      <c r="F26" s="62">
        <v>2481.56</v>
      </c>
      <c r="G26" s="62">
        <v>3189.71</v>
      </c>
      <c r="H26" s="10"/>
      <c r="I26" s="10"/>
    </row>
    <row r="27" spans="1:9" ht="3" customHeight="1" x14ac:dyDescent="0.25">
      <c r="H27" s="4"/>
    </row>
    <row r="28" spans="1:9" x14ac:dyDescent="0.25">
      <c r="B28" s="63"/>
      <c r="C28" s="64" t="s">
        <v>15</v>
      </c>
      <c r="D28" s="65"/>
      <c r="E28" s="64"/>
      <c r="F28" s="49" t="s">
        <v>11</v>
      </c>
      <c r="G28" s="49" t="s">
        <v>11</v>
      </c>
      <c r="H28" s="49" t="s">
        <v>11</v>
      </c>
      <c r="I28" s="49" t="s">
        <v>11</v>
      </c>
    </row>
    <row r="29" spans="1:9" x14ac:dyDescent="0.25">
      <c r="A29" s="6" t="s">
        <v>3</v>
      </c>
      <c r="B29" s="66" t="str">
        <f>CONCATENATE(A29,COUNTIF($A$6:A29,A29))</f>
        <v>B1.16</v>
      </c>
      <c r="C29" s="67" t="s">
        <v>25</v>
      </c>
      <c r="D29" s="110"/>
      <c r="E29" s="110"/>
      <c r="F29" s="68">
        <v>185.1</v>
      </c>
      <c r="G29" s="68">
        <v>185.1</v>
      </c>
      <c r="H29" s="10"/>
      <c r="I29" s="10"/>
    </row>
    <row r="30" spans="1:9" ht="2.25" customHeight="1" x14ac:dyDescent="0.25">
      <c r="C30" s="1"/>
      <c r="D30" s="1"/>
      <c r="E30" s="1"/>
      <c r="F30" s="1"/>
      <c r="G30" s="1"/>
      <c r="H30" s="1"/>
      <c r="I30" s="1"/>
    </row>
    <row r="31" spans="1:9" ht="25.5" x14ac:dyDescent="0.25">
      <c r="A31" s="6" t="s">
        <v>3</v>
      </c>
      <c r="B31" s="69" t="str">
        <f>CONCATENATE(A31,COUNTIF($A$6:A31,A31))</f>
        <v>B1.17</v>
      </c>
      <c r="C31" s="70" t="s">
        <v>46</v>
      </c>
      <c r="D31" s="111" t="str">
        <f>CONCATENATE(B17," + ",B23," + ",B26," + ",B29)</f>
        <v>B1.10 + B1.14 + B1.15 + B1.16</v>
      </c>
      <c r="E31" s="111"/>
      <c r="F31" s="71">
        <f>F17+F23+F26+F29</f>
        <v>7716.2200000000012</v>
      </c>
      <c r="G31" s="71">
        <f>G17+G23+G26+G29</f>
        <v>9400.19</v>
      </c>
      <c r="H31" s="71">
        <f>H17+H23+H26+H29</f>
        <v>0</v>
      </c>
      <c r="I31" s="71">
        <f>I17+I23+I26+I29</f>
        <v>0</v>
      </c>
    </row>
    <row r="32" spans="1:9" ht="25.5" x14ac:dyDescent="0.25">
      <c r="A32" s="6" t="s">
        <v>3</v>
      </c>
      <c r="B32" s="72" t="str">
        <f>CONCATENATE(A32,COUNTIF($A$6:A32,A32))</f>
        <v>B1.18</v>
      </c>
      <c r="C32" s="73" t="s">
        <v>45</v>
      </c>
      <c r="D32" s="74"/>
      <c r="E32" s="74"/>
      <c r="F32" s="75">
        <f>F31+G31</f>
        <v>17116.410000000003</v>
      </c>
      <c r="G32" s="26"/>
      <c r="H32" s="75">
        <f>H31+I31</f>
        <v>0</v>
      </c>
      <c r="I32" s="26"/>
    </row>
    <row r="33" spans="1:9" ht="6.75" customHeight="1" x14ac:dyDescent="0.25">
      <c r="H33" s="4"/>
    </row>
    <row r="34" spans="1:9" ht="43.5" customHeight="1" x14ac:dyDescent="0.25">
      <c r="B34" s="76"/>
      <c r="C34" s="117" t="s">
        <v>64</v>
      </c>
      <c r="D34" s="118"/>
      <c r="E34" s="119"/>
      <c r="F34" s="26" t="s">
        <v>55</v>
      </c>
      <c r="G34" s="26"/>
      <c r="H34" s="86" t="s">
        <v>56</v>
      </c>
      <c r="I34" s="86"/>
    </row>
    <row r="35" spans="1:9" ht="32.25" customHeight="1" x14ac:dyDescent="0.25">
      <c r="A35" s="6" t="s">
        <v>48</v>
      </c>
      <c r="B35" s="77" t="str">
        <f>CONCATENATE(A35,COUNTIF($A$6:A35,A35))</f>
        <v>B2.1</v>
      </c>
      <c r="C35" s="78" t="s">
        <v>47</v>
      </c>
      <c r="D35" s="105"/>
      <c r="E35" s="120"/>
      <c r="F35" s="122">
        <f>18515.39*3%</f>
        <v>555.46169999999995</v>
      </c>
      <c r="G35" s="123"/>
      <c r="H35" s="124"/>
      <c r="I35" s="124"/>
    </row>
    <row r="36" spans="1:9" ht="25.5" x14ac:dyDescent="0.25">
      <c r="A36" s="6" t="s">
        <v>48</v>
      </c>
      <c r="B36" s="77" t="str">
        <f>CONCATENATE(A36,COUNTIF($A$6:A36,A36))</f>
        <v>B2.2</v>
      </c>
      <c r="C36" s="78" t="s">
        <v>63</v>
      </c>
      <c r="D36" s="105"/>
      <c r="E36" s="120"/>
      <c r="F36" s="122">
        <f>18515.39*3%</f>
        <v>555.46169999999995</v>
      </c>
      <c r="G36" s="123"/>
      <c r="H36" s="124"/>
      <c r="I36" s="124"/>
    </row>
    <row r="37" spans="1:9" ht="38.25" x14ac:dyDescent="0.25">
      <c r="A37" s="6" t="s">
        <v>48</v>
      </c>
      <c r="B37" s="72" t="str">
        <f>CONCATENATE(A37,COUNTIF($A$6:A37,A37))</f>
        <v>B2.3</v>
      </c>
      <c r="C37" s="73" t="s">
        <v>49</v>
      </c>
      <c r="D37" s="121" t="str">
        <f>CONCATENATE(B35," + ",B36)</f>
        <v>B2.1 + B2.2</v>
      </c>
      <c r="E37" s="121"/>
      <c r="F37" s="130">
        <f>SUM(F35:G36)</f>
        <v>1110.9233999999999</v>
      </c>
      <c r="G37" s="131"/>
      <c r="H37" s="130">
        <f>SUM(H35:I36)</f>
        <v>0</v>
      </c>
      <c r="I37" s="131"/>
    </row>
    <row r="38" spans="1:9" x14ac:dyDescent="0.25">
      <c r="H38" s="7"/>
      <c r="I38" s="7"/>
    </row>
    <row r="39" spans="1:9" ht="34.5" customHeight="1" x14ac:dyDescent="0.25">
      <c r="B39" s="76"/>
      <c r="C39" s="117" t="s">
        <v>50</v>
      </c>
      <c r="D39" s="118"/>
      <c r="E39" s="119"/>
      <c r="F39" s="26" t="s">
        <v>55</v>
      </c>
      <c r="G39" s="26"/>
      <c r="H39" s="86" t="s">
        <v>56</v>
      </c>
      <c r="I39" s="86"/>
    </row>
    <row r="40" spans="1:9" ht="25.5" x14ac:dyDescent="0.25">
      <c r="A40" s="1" t="s">
        <v>37</v>
      </c>
      <c r="B40" s="77" t="str">
        <f>CONCATENATE(A40,COUNTIF($A$6:A40,A40))</f>
        <v>C1</v>
      </c>
      <c r="C40" s="78" t="s">
        <v>53</v>
      </c>
      <c r="D40" s="105"/>
      <c r="E40" s="120"/>
      <c r="F40" s="122">
        <v>160.71550000000002</v>
      </c>
      <c r="G40" s="123"/>
      <c r="H40" s="124"/>
      <c r="I40" s="124"/>
    </row>
    <row r="41" spans="1:9" ht="25.5" x14ac:dyDescent="0.25">
      <c r="A41" s="1" t="s">
        <v>37</v>
      </c>
      <c r="B41" s="77" t="str">
        <f>CONCATENATE(A41,COUNTIF($A$6:A41,A41))</f>
        <v>C2</v>
      </c>
      <c r="C41" s="78" t="s">
        <v>51</v>
      </c>
      <c r="D41" s="105"/>
      <c r="E41" s="105"/>
      <c r="F41" s="122">
        <v>63.6</v>
      </c>
      <c r="G41" s="123"/>
      <c r="H41" s="124"/>
      <c r="I41" s="124"/>
    </row>
    <row r="42" spans="1:9" x14ac:dyDescent="0.25">
      <c r="A42" s="1" t="s">
        <v>37</v>
      </c>
      <c r="B42" s="79" t="str">
        <f>CONCATENATE(A42,COUNTIF($A$6:A42,A42))</f>
        <v>C3</v>
      </c>
      <c r="C42" s="73" t="s">
        <v>52</v>
      </c>
      <c r="D42" s="121" t="str">
        <f>CONCATENATE(B40," + ",B41)</f>
        <v>C1 + C2</v>
      </c>
      <c r="E42" s="121"/>
      <c r="F42" s="125">
        <f>F40+F41</f>
        <v>224.31550000000001</v>
      </c>
      <c r="G42" s="125"/>
      <c r="H42" s="125">
        <f>H40+H41</f>
        <v>0</v>
      </c>
      <c r="I42" s="125"/>
    </row>
    <row r="43" spans="1:9" ht="6" customHeight="1" x14ac:dyDescent="0.25">
      <c r="H43" s="7"/>
      <c r="I43" s="7"/>
    </row>
    <row r="44" spans="1:9" ht="34.5" customHeight="1" x14ac:dyDescent="0.25">
      <c r="B44" s="76"/>
      <c r="C44" s="117" t="s">
        <v>54</v>
      </c>
      <c r="D44" s="118"/>
      <c r="E44" s="119"/>
      <c r="F44" s="26" t="s">
        <v>55</v>
      </c>
      <c r="G44" s="26"/>
      <c r="H44" s="86" t="s">
        <v>56</v>
      </c>
      <c r="I44" s="86"/>
    </row>
    <row r="45" spans="1:9" ht="25.5" x14ac:dyDescent="0.25">
      <c r="A45" s="1" t="s">
        <v>39</v>
      </c>
      <c r="B45" s="77" t="str">
        <f>CONCATENATE(A45,COUNTIF($A$6:A45,A45))</f>
        <v>D1</v>
      </c>
      <c r="C45" s="78" t="s">
        <v>53</v>
      </c>
      <c r="D45" s="105"/>
      <c r="E45" s="105"/>
      <c r="F45" s="122">
        <v>142.35</v>
      </c>
      <c r="G45" s="123"/>
      <c r="H45" s="124"/>
      <c r="I45" s="124"/>
    </row>
    <row r="46" spans="1:9" ht="25.5" x14ac:dyDescent="0.25">
      <c r="A46" s="1" t="str">
        <f>A45</f>
        <v>D</v>
      </c>
      <c r="B46" s="77" t="str">
        <f>CONCATENATE(A46,COUNTIF($A$6:A46,A46))</f>
        <v>D2</v>
      </c>
      <c r="C46" s="78" t="s">
        <v>51</v>
      </c>
      <c r="D46" s="105"/>
      <c r="E46" s="105"/>
      <c r="F46" s="122">
        <v>131.87</v>
      </c>
      <c r="G46" s="123"/>
      <c r="H46" s="124"/>
      <c r="I46" s="124"/>
    </row>
    <row r="47" spans="1:9" ht="25.5" x14ac:dyDescent="0.25">
      <c r="A47" s="1" t="str">
        <f>A46</f>
        <v>D</v>
      </c>
      <c r="B47" s="79" t="str">
        <f>CONCATENATE(A47,COUNTIF($A$6:A47,A47))</f>
        <v>D3</v>
      </c>
      <c r="C47" s="73" t="s">
        <v>57</v>
      </c>
      <c r="D47" s="121" t="str">
        <f>CONCATENATE(B45," + ",B46)</f>
        <v>D1 + D2</v>
      </c>
      <c r="E47" s="121"/>
      <c r="F47" s="125">
        <f>F45+F46</f>
        <v>274.22000000000003</v>
      </c>
      <c r="G47" s="125"/>
      <c r="H47" s="125">
        <f>H45+H46</f>
        <v>0</v>
      </c>
      <c r="I47" s="125"/>
    </row>
    <row r="48" spans="1:9" ht="6" customHeight="1" x14ac:dyDescent="0.25">
      <c r="H48" s="7"/>
      <c r="I48" s="7"/>
    </row>
    <row r="49" spans="1:17" ht="15.75" x14ac:dyDescent="0.25">
      <c r="A49" s="1" t="s">
        <v>38</v>
      </c>
      <c r="B49" s="76"/>
      <c r="C49" s="114" t="s">
        <v>59</v>
      </c>
      <c r="D49" s="115"/>
      <c r="E49" s="116"/>
      <c r="F49" s="26" t="s">
        <v>30</v>
      </c>
      <c r="G49" s="26"/>
      <c r="H49" s="86" t="s">
        <v>29</v>
      </c>
      <c r="I49" s="86"/>
    </row>
    <row r="50" spans="1:17" x14ac:dyDescent="0.25">
      <c r="A50" s="1" t="s">
        <v>16</v>
      </c>
      <c r="B50" s="77" t="str">
        <f>CONCATENATE(A50,COUNTIF($A$6:A50,A50))</f>
        <v>E1</v>
      </c>
      <c r="C50" s="78" t="s">
        <v>58</v>
      </c>
      <c r="D50" s="105"/>
      <c r="E50" s="105"/>
      <c r="F50" s="122">
        <v>327.9</v>
      </c>
      <c r="G50" s="123"/>
      <c r="H50" s="132"/>
      <c r="I50" s="132"/>
    </row>
    <row r="51" spans="1:17" ht="6" customHeight="1" x14ac:dyDescent="0.25">
      <c r="H51" s="7"/>
      <c r="I51" s="7"/>
    </row>
    <row r="52" spans="1:17" ht="18.75" x14ac:dyDescent="0.25">
      <c r="B52" s="76"/>
      <c r="C52" s="80" t="s">
        <v>2</v>
      </c>
      <c r="D52" s="80"/>
      <c r="E52" s="81"/>
      <c r="F52" s="26" t="s">
        <v>30</v>
      </c>
      <c r="G52" s="26"/>
      <c r="H52" s="86" t="s">
        <v>29</v>
      </c>
      <c r="I52" s="86"/>
    </row>
    <row r="53" spans="1:17" ht="24.75" customHeight="1" x14ac:dyDescent="0.25">
      <c r="A53" s="1" t="s">
        <v>18</v>
      </c>
      <c r="B53" s="77" t="str">
        <f>CONCATENATE(A53,COUNTIF($A$6:A53,A53))</f>
        <v>F1</v>
      </c>
      <c r="C53" s="78" t="s">
        <v>60</v>
      </c>
      <c r="D53" s="105"/>
      <c r="E53" s="105"/>
      <c r="F53" s="122">
        <v>3275.34</v>
      </c>
      <c r="G53" s="123"/>
      <c r="H53" s="124"/>
      <c r="I53" s="124"/>
    </row>
    <row r="54" spans="1:17" ht="24.75" customHeight="1" x14ac:dyDescent="0.25">
      <c r="A54" s="1" t="s">
        <v>18</v>
      </c>
      <c r="B54" s="79" t="str">
        <f>CONCATENATE(A54,COUNTIF($A$6:A54,A54))</f>
        <v>F2</v>
      </c>
      <c r="C54" s="73" t="s">
        <v>61</v>
      </c>
      <c r="D54" s="121" t="str">
        <f>CONCATENATE(B53,"/","(",B32,"+",B37,"+",B42,"+",B47,"+",B50,")")</f>
        <v>F1/(B1.18+B2.3+C3+D3+E1)</v>
      </c>
      <c r="E54" s="121"/>
      <c r="F54" s="129">
        <f>F53/SUM(F32,F37,F42,F47,F50)</f>
        <v>0.17189984916842352</v>
      </c>
      <c r="G54" s="129"/>
      <c r="H54" s="129">
        <f>IFERROR(H53/SUM(H32,H37,H42,H47,H50),0)</f>
        <v>0</v>
      </c>
      <c r="I54" s="129"/>
    </row>
    <row r="55" spans="1:17" ht="5.25" customHeight="1" x14ac:dyDescent="0.25">
      <c r="F55" s="82"/>
      <c r="H55" s="7"/>
      <c r="I55" s="7"/>
    </row>
    <row r="56" spans="1:17" ht="18.75" x14ac:dyDescent="0.25">
      <c r="B56" s="76"/>
      <c r="C56" s="80" t="s">
        <v>17</v>
      </c>
      <c r="D56" s="83"/>
      <c r="E56" s="81"/>
      <c r="F56" s="26" t="s">
        <v>30</v>
      </c>
      <c r="G56" s="26"/>
      <c r="H56" s="86" t="s">
        <v>29</v>
      </c>
      <c r="I56" s="86"/>
    </row>
    <row r="57" spans="1:17" x14ac:dyDescent="0.25">
      <c r="A57" s="1" t="s">
        <v>62</v>
      </c>
      <c r="B57" s="84" t="str">
        <f>CONCATENATE(A57,COUNTIF($A$6:A57,A57))</f>
        <v>G1</v>
      </c>
      <c r="C57" s="67" t="s">
        <v>26</v>
      </c>
      <c r="D57" s="106" t="str">
        <f>_xlfn.CONCAT("(",B37," + ",B32,") x (1 + ",$B$54,")",)</f>
        <v>(B2.3 + B1.18) x (1 + F2)</v>
      </c>
      <c r="E57" s="106"/>
      <c r="F57" s="128">
        <f>SUM(F37,F32)*(1+F54)</f>
        <v>21360.609262202572</v>
      </c>
      <c r="G57" s="123"/>
      <c r="H57" s="128">
        <f>SUM(H37,H32)*(1+H54)</f>
        <v>0</v>
      </c>
      <c r="I57" s="123"/>
    </row>
    <row r="58" spans="1:17" ht="36" customHeight="1" x14ac:dyDescent="0.25">
      <c r="A58" s="1" t="s">
        <v>62</v>
      </c>
      <c r="B58" s="84" t="str">
        <f>CONCATENATE(A58,COUNTIF($A$6:A58,A58))</f>
        <v>G2</v>
      </c>
      <c r="C58" s="67" t="str">
        <f>C39</f>
        <v>Instalação de Equipamentos para Monitoramento eletrônico em Comodato - Alarme</v>
      </c>
      <c r="D58" s="106" t="str">
        <f>_xlfn.CONCAT(B40," x (1 + ",$B$54,")",)</f>
        <v>C1 x (1 + F2)</v>
      </c>
      <c r="E58" s="106"/>
      <c r="F58" s="128">
        <f>F40*(1+F54)</f>
        <v>188.34247020902779</v>
      </c>
      <c r="G58" s="123"/>
      <c r="H58" s="128">
        <f>H40*(1+H54)</f>
        <v>0</v>
      </c>
      <c r="I58" s="123"/>
    </row>
    <row r="59" spans="1:17" ht="39.75" customHeight="1" x14ac:dyDescent="0.25">
      <c r="A59" s="1" t="s">
        <v>62</v>
      </c>
      <c r="B59" s="84" t="str">
        <f>CONCATENATE(A59,COUNTIF($A$6:A59,A59))</f>
        <v>G3</v>
      </c>
      <c r="C59" s="67" t="str">
        <f>C44</f>
        <v>Instalação de Equipamentos para Videomonitoramento Eletronico em Comodato</v>
      </c>
      <c r="D59" s="106" t="str">
        <f>_xlfn.CONCAT(B45," x (1 + ",$B$54,")",)</f>
        <v>D1 x (1 + F2)</v>
      </c>
      <c r="E59" s="106"/>
      <c r="F59" s="128">
        <f>F45*(1+F54)</f>
        <v>166.81994352912508</v>
      </c>
      <c r="G59" s="123"/>
      <c r="H59" s="128">
        <f>H45*(1+H54)</f>
        <v>0</v>
      </c>
      <c r="I59" s="123"/>
    </row>
    <row r="60" spans="1:17" x14ac:dyDescent="0.25">
      <c r="A60" s="1" t="s">
        <v>62</v>
      </c>
      <c r="B60" s="84" t="str">
        <f>CONCATENATE(A60,COUNTIF($A$6:A60,A60))</f>
        <v>G4</v>
      </c>
      <c r="C60" s="67" t="str">
        <f>C49</f>
        <v>Deslocamento:</v>
      </c>
      <c r="D60" s="106" t="str">
        <f>_xlfn.CONCAT(B50," x (1 + ",$B$54,")",)</f>
        <v>E1 x (1 + F2)</v>
      </c>
      <c r="E60" s="106"/>
      <c r="F60" s="128">
        <f>F50*(1+F54)</f>
        <v>384.26596054232607</v>
      </c>
      <c r="G60" s="123"/>
      <c r="H60" s="128">
        <f>H50*(1+H54)</f>
        <v>0</v>
      </c>
      <c r="I60" s="123"/>
    </row>
    <row r="61" spans="1:17" ht="25.5" x14ac:dyDescent="0.25">
      <c r="A61" s="1" t="s">
        <v>62</v>
      </c>
      <c r="B61" s="84" t="str">
        <f>CONCATENATE(A61,COUNTIF($A$6:A61,A61))</f>
        <v>G5</v>
      </c>
      <c r="C61" s="67" t="s">
        <v>51</v>
      </c>
      <c r="D61" s="106" t="str">
        <f>_xlfn.CONCAT("(",B41," + ",B46,") x (1 + ",$B$54,")",)</f>
        <v>(C2 + D2) x (1 + F2)</v>
      </c>
      <c r="E61" s="106"/>
      <c r="F61" s="128">
        <f>SUM(F41,F46)*(1+F54)</f>
        <v>229.07126351695177</v>
      </c>
      <c r="G61" s="123"/>
      <c r="H61" s="128">
        <f>SUM(H41,H46)*(1+H54)</f>
        <v>0</v>
      </c>
      <c r="I61" s="123"/>
    </row>
    <row r="62" spans="1:17" x14ac:dyDescent="0.25">
      <c r="A62" s="1" t="s">
        <v>62</v>
      </c>
      <c r="B62" s="84" t="str">
        <f>CONCATENATE(A62,COUNTIF($A$6:A62,A62))</f>
        <v>G6</v>
      </c>
      <c r="C62" s="85" t="s">
        <v>19</v>
      </c>
      <c r="D62" s="103" t="str">
        <f>CONCATENATE("SOMA(",B57,":",B61,")")</f>
        <v>SOMA(G1:G5)</v>
      </c>
      <c r="E62" s="104"/>
      <c r="F62" s="126">
        <f>SUM(F57:F61)</f>
        <v>22329.108899999999</v>
      </c>
      <c r="G62" s="127"/>
      <c r="H62" s="126">
        <f>SUM(H57:H61)</f>
        <v>0</v>
      </c>
      <c r="I62" s="127"/>
    </row>
    <row r="63" spans="1:17" x14ac:dyDescent="0.25">
      <c r="A63" s="1" t="s">
        <v>62</v>
      </c>
      <c r="B63" s="84" t="str">
        <f>CONCATENATE(A63,COUNTIF($A$6:A63,A63))</f>
        <v>G7</v>
      </c>
      <c r="C63" s="85" t="s">
        <v>34</v>
      </c>
      <c r="D63" s="103" t="str">
        <f>CONCATENATE(B62," x 12 meses")</f>
        <v>G6 x 12 meses</v>
      </c>
      <c r="E63" s="103"/>
      <c r="F63" s="127">
        <f>F62*12</f>
        <v>267949.30680000002</v>
      </c>
      <c r="G63" s="127"/>
      <c r="H63" s="127">
        <f>H62*12</f>
        <v>0</v>
      </c>
      <c r="I63" s="127"/>
    </row>
    <row r="64" spans="1:17" s="8" customFormat="1" x14ac:dyDescent="0.25">
      <c r="B64" s="11"/>
      <c r="C64" s="11"/>
      <c r="D64" s="11"/>
      <c r="E64" s="11"/>
      <c r="F64" s="11"/>
      <c r="G64" s="11"/>
      <c r="H64" s="11"/>
      <c r="I64" s="11"/>
      <c r="K64" s="1"/>
      <c r="L64" s="1"/>
      <c r="M64" s="1"/>
      <c r="N64" s="1"/>
      <c r="O64" s="1"/>
      <c r="P64" s="1"/>
      <c r="Q64" s="1"/>
    </row>
    <row r="65" spans="2:10" x14ac:dyDescent="0.25">
      <c r="B65" s="11"/>
      <c r="C65" s="12"/>
      <c r="D65" s="12"/>
      <c r="E65" s="23" t="s">
        <v>20</v>
      </c>
      <c r="F65" s="23"/>
      <c r="G65" s="20" t="s">
        <v>35</v>
      </c>
      <c r="H65" s="20"/>
      <c r="I65" s="21"/>
    </row>
    <row r="66" spans="2:10" ht="30" customHeight="1" x14ac:dyDescent="0.25">
      <c r="B66" s="11"/>
      <c r="C66" s="14" t="s">
        <v>21</v>
      </c>
      <c r="D66" s="15"/>
      <c r="E66" s="15"/>
      <c r="F66" s="15"/>
      <c r="G66" s="12"/>
      <c r="H66" s="12"/>
      <c r="I66" s="13"/>
    </row>
    <row r="67" spans="2:10" x14ac:dyDescent="0.25">
      <c r="B67" s="11"/>
      <c r="C67" s="22" t="s">
        <v>27</v>
      </c>
      <c r="D67" s="17"/>
      <c r="E67" s="17"/>
      <c r="F67" s="17"/>
      <c r="G67" s="16"/>
      <c r="H67" s="16"/>
      <c r="I67" s="13"/>
    </row>
    <row r="68" spans="2:10" x14ac:dyDescent="0.25">
      <c r="B68" s="11"/>
      <c r="C68" s="22" t="s">
        <v>28</v>
      </c>
      <c r="D68" s="17"/>
      <c r="E68" s="17"/>
      <c r="F68" s="17"/>
      <c r="G68" s="16"/>
      <c r="H68" s="16"/>
      <c r="I68" s="13"/>
      <c r="J68" s="9"/>
    </row>
    <row r="69" spans="2:10" x14ac:dyDescent="0.25">
      <c r="E69" s="4"/>
      <c r="F69" s="4"/>
      <c r="G69" s="4"/>
      <c r="H69" s="4"/>
      <c r="J69" s="9"/>
    </row>
    <row r="70" spans="2:10" x14ac:dyDescent="0.25">
      <c r="E70" s="4"/>
      <c r="F70" s="4"/>
      <c r="G70" s="4"/>
      <c r="H70" s="4"/>
    </row>
    <row r="71" spans="2:10" x14ac:dyDescent="0.25">
      <c r="E71" s="4"/>
      <c r="F71" s="24"/>
      <c r="G71" s="4"/>
      <c r="H71" s="24"/>
    </row>
    <row r="72" spans="2:10" x14ac:dyDescent="0.25">
      <c r="E72" s="4"/>
      <c r="F72" s="4"/>
      <c r="G72" s="4"/>
      <c r="H72" s="4"/>
    </row>
    <row r="73" spans="2:10" x14ac:dyDescent="0.25">
      <c r="E73" s="4"/>
      <c r="F73" s="4"/>
      <c r="G73" s="4"/>
      <c r="H73" s="4"/>
    </row>
    <row r="74" spans="2:10" x14ac:dyDescent="0.25">
      <c r="E74" s="4"/>
      <c r="F74" s="4"/>
      <c r="G74" s="4"/>
      <c r="H74" s="4"/>
    </row>
    <row r="75" spans="2:10" x14ac:dyDescent="0.25">
      <c r="E75" s="4"/>
      <c r="F75" s="4"/>
      <c r="G75" s="4"/>
      <c r="H75" s="4"/>
    </row>
    <row r="76" spans="2:10" x14ac:dyDescent="0.25">
      <c r="E76" s="4"/>
      <c r="F76" s="4"/>
      <c r="G76" s="4"/>
      <c r="H76" s="4"/>
    </row>
    <row r="77" spans="2:10" x14ac:dyDescent="0.25">
      <c r="E77" s="4"/>
      <c r="F77" s="4"/>
      <c r="G77" s="4"/>
      <c r="H77" s="4"/>
    </row>
    <row r="78" spans="2:10" x14ac:dyDescent="0.25">
      <c r="E78" s="4"/>
      <c r="F78" s="4"/>
      <c r="G78" s="4"/>
      <c r="H78" s="4"/>
    </row>
    <row r="79" spans="2:10" x14ac:dyDescent="0.25">
      <c r="E79" s="4"/>
      <c r="F79" s="4"/>
      <c r="G79" s="4"/>
      <c r="H79" s="4"/>
    </row>
    <row r="80" spans="2:10" x14ac:dyDescent="0.25">
      <c r="E80" s="4"/>
      <c r="F80" s="4"/>
      <c r="G80" s="4"/>
      <c r="H80" s="4"/>
    </row>
    <row r="81" spans="5:8" x14ac:dyDescent="0.25">
      <c r="E81" s="4"/>
      <c r="F81" s="4"/>
      <c r="G81" s="4"/>
      <c r="H81" s="4"/>
    </row>
    <row r="82" spans="5:8" x14ac:dyDescent="0.25">
      <c r="E82" s="4"/>
      <c r="F82" s="4"/>
      <c r="G82" s="4"/>
      <c r="H82" s="4"/>
    </row>
    <row r="83" spans="5:8" x14ac:dyDescent="0.25">
      <c r="E83" s="4"/>
      <c r="F83" s="4"/>
      <c r="G83" s="4"/>
      <c r="H83" s="4"/>
    </row>
  </sheetData>
  <sheetProtection algorithmName="SHA-512" hashValue="D9WFHP96oPMpskYtvU4GR1zttRYAZTHQ2GZ0Dr6V8Y4jNeeXbVipzFr8CXT9nAyYLcX+sgNYT6SRcrYsdP9mBw==" saltValue="NYXdTMxnRK46Aymg+8hrDA==" spinCount="100000" sheet="1" formatCells="0" formatColumns="0" formatRows="0" autoFilter="0"/>
  <mergeCells count="84">
    <mergeCell ref="F63:G63"/>
    <mergeCell ref="H63:I63"/>
    <mergeCell ref="D40:E40"/>
    <mergeCell ref="F37:G37"/>
    <mergeCell ref="H37:I37"/>
    <mergeCell ref="D60:E60"/>
    <mergeCell ref="D54:E54"/>
    <mergeCell ref="H50:I50"/>
    <mergeCell ref="F53:G53"/>
    <mergeCell ref="F57:G57"/>
    <mergeCell ref="F58:G58"/>
    <mergeCell ref="H54:I54"/>
    <mergeCell ref="H53:I53"/>
    <mergeCell ref="D46:E46"/>
    <mergeCell ref="F46:G46"/>
    <mergeCell ref="H46:I46"/>
    <mergeCell ref="F36:G36"/>
    <mergeCell ref="H36:I36"/>
    <mergeCell ref="F35:G35"/>
    <mergeCell ref="H35:I35"/>
    <mergeCell ref="F62:G62"/>
    <mergeCell ref="H57:I57"/>
    <mergeCell ref="H58:I58"/>
    <mergeCell ref="H59:I59"/>
    <mergeCell ref="H60:I60"/>
    <mergeCell ref="H61:I61"/>
    <mergeCell ref="H62:I62"/>
    <mergeCell ref="F59:G59"/>
    <mergeCell ref="F61:G61"/>
    <mergeCell ref="F60:G60"/>
    <mergeCell ref="F54:G54"/>
    <mergeCell ref="F50:G50"/>
    <mergeCell ref="D58:E58"/>
    <mergeCell ref="C39:E39"/>
    <mergeCell ref="F40:G40"/>
    <mergeCell ref="H40:I40"/>
    <mergeCell ref="F41:G41"/>
    <mergeCell ref="H41:I41"/>
    <mergeCell ref="D42:E42"/>
    <mergeCell ref="F42:G42"/>
    <mergeCell ref="H42:I42"/>
    <mergeCell ref="D47:E47"/>
    <mergeCell ref="F47:G47"/>
    <mergeCell ref="H47:I47"/>
    <mergeCell ref="D45:E45"/>
    <mergeCell ref="F45:G45"/>
    <mergeCell ref="H45:I45"/>
    <mergeCell ref="C44:E44"/>
    <mergeCell ref="C34:E34"/>
    <mergeCell ref="D35:E35"/>
    <mergeCell ref="D36:E36"/>
    <mergeCell ref="D37:E37"/>
    <mergeCell ref="B5:I5"/>
    <mergeCell ref="D63:E63"/>
    <mergeCell ref="D62:E62"/>
    <mergeCell ref="D53:E53"/>
    <mergeCell ref="D61:E61"/>
    <mergeCell ref="D57:E57"/>
    <mergeCell ref="D21:E21"/>
    <mergeCell ref="D26:E26"/>
    <mergeCell ref="D29:E29"/>
    <mergeCell ref="D22:E22"/>
    <mergeCell ref="D31:E31"/>
    <mergeCell ref="D23:E23"/>
    <mergeCell ref="D59:E59"/>
    <mergeCell ref="C49:E49"/>
    <mergeCell ref="D50:E50"/>
    <mergeCell ref="D41:E41"/>
    <mergeCell ref="B1:I1"/>
    <mergeCell ref="C2:I2"/>
    <mergeCell ref="C3:I3"/>
    <mergeCell ref="L4:M4"/>
    <mergeCell ref="D18:E18"/>
    <mergeCell ref="D17:E17"/>
    <mergeCell ref="C7:E7"/>
    <mergeCell ref="D14:E14"/>
    <mergeCell ref="D15:E15"/>
    <mergeCell ref="D16:E16"/>
    <mergeCell ref="D11:E11"/>
    <mergeCell ref="D10:E10"/>
    <mergeCell ref="D9:E9"/>
    <mergeCell ref="D8:E8"/>
    <mergeCell ref="D12:E12"/>
    <mergeCell ref="D13:E13"/>
  </mergeCells>
  <printOptions horizontalCentered="1"/>
  <pageMargins left="0.27559055118110237" right="0.23622047244094491" top="0.47244094488188981" bottom="0.47244094488188981" header="0.31496062992125984" footer="0.31496062992125984"/>
  <pageSetup paperSize="9" fitToHeight="6" orientation="portrait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2</xdr:col>
                <xdr:colOff>180975</xdr:colOff>
                <xdr:row>2</xdr:row>
                <xdr:rowOff>209550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SMS</vt:lpstr>
      <vt:lpstr>SMS!Area_de_impressao</vt:lpstr>
      <vt:lpstr>SMS!Titulos_de_impressao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Feil</dc:creator>
  <cp:keywords/>
  <dc:description/>
  <cp:lastModifiedBy>Jussiano Regis Pacheco</cp:lastModifiedBy>
  <cp:revision/>
  <cp:lastPrinted>2024-10-16T19:56:58Z</cp:lastPrinted>
  <dcterms:created xsi:type="dcterms:W3CDTF">2022-04-26T17:24:03Z</dcterms:created>
  <dcterms:modified xsi:type="dcterms:W3CDTF">2026-04-07T19:57:27Z</dcterms:modified>
  <cp:category/>
  <cp:contentStatus/>
</cp:coreProperties>
</file>