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1"/>
  </bookViews>
  <sheets>
    <sheet name="Plan1" sheetId="1" r:id="rId1"/>
    <sheet name="Plan2" sheetId="2" r:id="rId2"/>
  </sheets>
  <externalReferences>
    <externalReference r:id="rId5"/>
  </externalReferences>
  <definedNames>
    <definedName name="_xlnm.Print_Area" localSheetId="0">'Plan1'!$A$1:$K$245</definedName>
    <definedName name="_xlnm.Print_Area" localSheetId="1">'Plan2'!$A$1:$Q$37,'Plan2'!$S$1:$AH$37</definedName>
  </definedNames>
  <calcPr fullCalcOnLoad="1"/>
</workbook>
</file>

<file path=xl/sharedStrings.xml><?xml version="1.0" encoding="utf-8"?>
<sst xmlns="http://schemas.openxmlformats.org/spreadsheetml/2006/main" count="903" uniqueCount="513">
  <si>
    <t>Item</t>
  </si>
  <si>
    <t>Código</t>
  </si>
  <si>
    <t>Banco</t>
  </si>
  <si>
    <t>Descrição</t>
  </si>
  <si>
    <t>Und</t>
  </si>
  <si>
    <t>Quant.</t>
  </si>
  <si>
    <t>Valor Unit</t>
  </si>
  <si>
    <t>Peso (%)</t>
  </si>
  <si>
    <t>HABITAÇÕES DE INTERESSE SOCIAL</t>
  </si>
  <si>
    <t>1.1</t>
  </si>
  <si>
    <t>Serviços Preliminares e Gerais</t>
  </si>
  <si>
    <t>1.1.1</t>
  </si>
  <si>
    <t>Instalações e canteiro</t>
  </si>
  <si>
    <t>1.1.1.1</t>
  </si>
  <si>
    <t>SINAPI</t>
  </si>
  <si>
    <t>EXECUÇÃO DE ALMOXARIFADO EM CANTEIRO DE OBRA EM CHAPA DE MADEIRA COMPENSADA, INCLUSO PRATELEIRAS. AF_02/2016</t>
  </si>
  <si>
    <t>m²</t>
  </si>
  <si>
    <t>1.1.1.2</t>
  </si>
  <si>
    <t>1.1.1.3</t>
  </si>
  <si>
    <t>EXECUÇÃO DE SANITÁRIO E VESTIÁRIO EM CANTEIRO DE OBRA EM CHAPA DE MADEIRA COMPENSADA, NÃO INCLUSO MOBILIÁRIO. AF_02/2016</t>
  </si>
  <si>
    <t>1.1.1.4</t>
  </si>
  <si>
    <t>EXECUÇÃO DE CENTRAL DE ARMADURA EM CANTEIRO DE OBRA, NÃO INCLUSO MOBILIÁRIO E EQUIPAMENTOS. AF_04/2016</t>
  </si>
  <si>
    <t>1.1.1.5</t>
  </si>
  <si>
    <t>UN</t>
  </si>
  <si>
    <t>1.1.1.6</t>
  </si>
  <si>
    <t>EXECUÇÃO DE GUARITA EM CANTEIRO DE OBRA EM CHAPA DE MADEIRA COMPENSADA, NÃO INCLUSO MOBILIÁRIO. AF_04/2016</t>
  </si>
  <si>
    <t>1.1.1.7</t>
  </si>
  <si>
    <t>TAPUME COM TELHA METÁLICA. AF_05/2018</t>
  </si>
  <si>
    <t>1.1.1.8</t>
  </si>
  <si>
    <t>PLACA DE OBRA (PARA CONSTRUCAO CIVIL) EM CHAPA GALVANIZADA *N. 22*, ADESIVADA, DE *2,4 X 1,2* M (SEM POSTES PARA FIXACAO)</t>
  </si>
  <si>
    <t>1.1.1.9</t>
  </si>
  <si>
    <t>EXECUÇÃO DE ESCRITÓRIO EM CANTEIRO DE OBRA EM CHAPA DE MADEIRA COMPENSADA, NÃO INCLUSO MOBILIÁRIO E EQUIPAMENTOS. AF_02/2016</t>
  </si>
  <si>
    <t>1.1.2</t>
  </si>
  <si>
    <t>Ligações Provisórias</t>
  </si>
  <si>
    <t>1.1.2.1</t>
  </si>
  <si>
    <t>1.1.2.2</t>
  </si>
  <si>
    <t>ENTRADA DE ENERGIA ELÉTRICA, AÉREA, BIFÁSICA, COM CAIXA DE SOBREPOR, CABO DE 16 MM2 E DISJUNTOR DIN 50A (NÃO INCLUSO O POSTE DE CONCRETO). AF_07/2020_PS</t>
  </si>
  <si>
    <t>1.1.2.3</t>
  </si>
  <si>
    <t>1.1.3</t>
  </si>
  <si>
    <t>Administração local</t>
  </si>
  <si>
    <t>1.1.3.1</t>
  </si>
  <si>
    <t>MESTRE DE OBRAS COM ENCARGOS COMPLEMENTARES</t>
  </si>
  <si>
    <t>MES</t>
  </si>
  <si>
    <t>1.1.3.2</t>
  </si>
  <si>
    <t>APONTADOR OU APROPRIADOR COM ENCARGOS COMPLEMENTARES</t>
  </si>
  <si>
    <t>1.1.3.3</t>
  </si>
  <si>
    <t>ALMOXARIFE COM ENCARGOS COMPLEMENTARES</t>
  </si>
  <si>
    <t>1.1.3.4</t>
  </si>
  <si>
    <t>VIGIA NOTURNO COM ENCARGOS COMPLEMENTARES</t>
  </si>
  <si>
    <t>H</t>
  </si>
  <si>
    <t>1.1.3.5</t>
  </si>
  <si>
    <t>VIGIA DIURNO COM ENCARGOS COMPLEMENTARES</t>
  </si>
  <si>
    <t>1.1.3.6</t>
  </si>
  <si>
    <t>1.1.4</t>
  </si>
  <si>
    <t>Locação</t>
  </si>
  <si>
    <t>1.1.4.1</t>
  </si>
  <si>
    <t>LOCAÇÃO DE PONTO PARA REFERÊNCIA TOPOGRÁFICA. AF_10/2018</t>
  </si>
  <si>
    <t>1.1.4.2</t>
  </si>
  <si>
    <t>LOCACAO CONVENCIONAL DE OBRA, UTILIZANDO GABARITO DE TÁBUAS CORRIDAS PONTALETADAS A CADA 2,00M - 2 UTILIZAÇÕES. AF_10/2018</t>
  </si>
  <si>
    <t>M</t>
  </si>
  <si>
    <t>1.1.4.3</t>
  </si>
  <si>
    <t>MARCAÇÃO DE PONTOS EM GABARITO OU CAVALETE. AF_10/2018</t>
  </si>
  <si>
    <t>1.1.5</t>
  </si>
  <si>
    <t>Controle tecnológico</t>
  </si>
  <si>
    <t>1.1.5.1</t>
  </si>
  <si>
    <t>74022/030</t>
  </si>
  <si>
    <t>ENSAIO DE RESISTENCIA A COMPRESSAO SIMPLES - CONCRETO</t>
  </si>
  <si>
    <t>1.2</t>
  </si>
  <si>
    <t>FUNDAÇÕES</t>
  </si>
  <si>
    <t>1.2.1</t>
  </si>
  <si>
    <t>LASTRO COM MATERIAL GRANULAR (PEDRA BRITADA N.2), APLICADO EM PISOS OU LAJES SOBRE SOLO, ESPESSURA DE *10 CM*. AF_08/2017</t>
  </si>
  <si>
    <t>m³</t>
  </si>
  <si>
    <t>1.2.2</t>
  </si>
  <si>
    <t>1.2.3</t>
  </si>
  <si>
    <t>CAMADA SEPARADORA PARA EXECUÇÃO DE RADIER, PISO DE CONCRETO OU LAJE SOBRE SOLO, EM LONA PLÁSTICA. AF_09/2021</t>
  </si>
  <si>
    <t>1.2.4</t>
  </si>
  <si>
    <t>FABRICAÇÃO, MONTAGEM E DESMONTAGEM DE FORMA PARA RADIER, PISO DE CONCRETO OU LAJE SOBRE SOLO, EM MADEIRA SERRADA, 4 UTILIZAÇÕES. AF_09/2021</t>
  </si>
  <si>
    <t>1.2.5</t>
  </si>
  <si>
    <t>ARMAÇÃO PARA EXECUÇÃO DE RADIER, PISO DE CONCRETO OU LAJE SOBRE SOLO, COM USO DE TELA Q-196. AF_09/2021</t>
  </si>
  <si>
    <t>KG</t>
  </si>
  <si>
    <t>1.2.6</t>
  </si>
  <si>
    <t>ARMAÇÃO PARA EXECUÇÃO DE RADIER, PISO DE CONCRETO OU LAJE SOBRE SOLO, COM USO DE TELA Q-283. AF_09/2021</t>
  </si>
  <si>
    <t>1.2.7</t>
  </si>
  <si>
    <t>CONCRETAGEM DE RADIER, PISO DE CONCRETO OU LAJE SOBRE SOLO, FCK 30 MPA - LANÇAMENTO, ADENSAMENTO E ACABAMENTO. AF_09/2021</t>
  </si>
  <si>
    <t>1.3</t>
  </si>
  <si>
    <t>Supraestrutura</t>
  </si>
  <si>
    <t>1.3.1</t>
  </si>
  <si>
    <t>Fabricação de pré moldados</t>
  </si>
  <si>
    <t>1.3.1.1</t>
  </si>
  <si>
    <t>ARMAÇÃO DO SISTEMA DE PAREDES DE CONCRETO, EXECUTADA EM PAREDES DE EDIFICAÇÕES TÉRREAS OU DE MÚLTIPLOS PAVIMENTOS, TELA Q-92. AF_06/2019</t>
  </si>
  <si>
    <t>1.3.1.2</t>
  </si>
  <si>
    <t>1.3.1.3</t>
  </si>
  <si>
    <t>ARMAÇÃO DO SISTEMA DE PAREDES DE CONCRETO, EXECUTADA COMO REFORÇO, VERGALHÃO DE 6,3 MM DE DIÂMETRO. AF_06/2019</t>
  </si>
  <si>
    <t>1.3.1.4</t>
  </si>
  <si>
    <t>ARMAÇÃO DO SISTEMA DE PAREDES DE CONCRETO, EXECUTADA COMO REFORÇO, VERGALHÃO DE 8,0 MM DE DIÂMETRO. AF_06/2019</t>
  </si>
  <si>
    <t>1.3.1.5</t>
  </si>
  <si>
    <t>ARMAÇÃO DO SISTEMA DE PAREDES DE CONCRETO, EXECUTADA COMO REFORÇO, VERGALHÃO DE 10,0 MM DE DIÂMETRO. AF_06/2019</t>
  </si>
  <si>
    <t>1.3.1.6</t>
  </si>
  <si>
    <t>ARMAÇÃO DO SISTEMA DE PAREDES DE CONCRETO, EXECUTADA COMO ARMADURA POSITIVA DE LAJES, TELA Q-196. AF_06/2019</t>
  </si>
  <si>
    <t>1.3.1.7</t>
  </si>
  <si>
    <t>Próprio</t>
  </si>
  <si>
    <t>CONCRETAGEM DE PAINEL DE PAREDE PRODUZIDO EM BATERIA DE FÔRMAS METÁLICAS, DO SISTEMA DE PAINÉIS DE PAREDE DE CONCRETO PRÉ-MOLDADO, COM CONCRETO AUTO ADENSÁVEL FCK 30 MPA - LANÇAMENTO, ADENSAMENTO E ACABAMENTO</t>
  </si>
  <si>
    <t>1.3.1.8</t>
  </si>
  <si>
    <t>1.3.2</t>
  </si>
  <si>
    <t>Transporte</t>
  </si>
  <si>
    <t>1.3.2.1</t>
  </si>
  <si>
    <t>txkm</t>
  </si>
  <si>
    <t>1.3.3</t>
  </si>
  <si>
    <t>Instalação de pré-moldado</t>
  </si>
  <si>
    <t>1.3.3.1</t>
  </si>
  <si>
    <t>GRAUTEAMENTO VERTICAL EM ALVENARIA ESTRUTURAL. AF_09/2021</t>
  </si>
  <si>
    <t>1.3.3.2</t>
  </si>
  <si>
    <t>INSTALAÇÃO DE PAINEL DE PAREDE PARA HIS TÉRREA COM CAMINHÃO MUNCK, DO SISTEMA DE PAINÉIS DE PAREDES DE CONCRETO PRÉ- MOLDADO</t>
  </si>
  <si>
    <t>1.3.3.3</t>
  </si>
  <si>
    <t>1.3.3.4</t>
  </si>
  <si>
    <t>1.4</t>
  </si>
  <si>
    <t>Coberturas e Proteção</t>
  </si>
  <si>
    <t>1.4.1</t>
  </si>
  <si>
    <t>Telhados</t>
  </si>
  <si>
    <t>1.4.1.1</t>
  </si>
  <si>
    <t>TELHAMENTO COM TELHA ONDULADA DE FIBROCIMENTO E = 6 MM, COM RECOBRIMENTO LATERAL DE 1/4 DE ONDA PARA TELHADO COM INCLINAÇÃO MAIOR QUE 10°, COM ATÉ 2 ÁGUAS, INCLUSO IÇAMENTO. AF_07/2019</t>
  </si>
  <si>
    <t>1.4.1.2</t>
  </si>
  <si>
    <t>CUMEEIRA PARA TELHA DE FIBROCIMENTO ONDULADA E = 6 MM, INCLUSO ACESSÓRIOS DE FIXAÇÃO E IÇAMENTO. AF_07/2019</t>
  </si>
  <si>
    <t>1.4.1.3</t>
  </si>
  <si>
    <t>TRAMA DE MADEIRA COMPOSTA POR TERÇAS PARA TELHADOS DE ATÉ 2 ÁGUAS PARA TELHA ONDULADA DE FIBROCIMENTO, METÁLICA, PLÁSTICA OU TERMOACÚSTICA, INCLUSO TRANSPORTE VERTICAL. AF_07/2019</t>
  </si>
  <si>
    <t>1.4.1.4</t>
  </si>
  <si>
    <t>FABRICAÇÃO E INSTALAÇÃO DE ESTRUTURA PONTALETADA DE MADEIRA NÃO APARELHADA PARA TELHADOS COM ATÉ 2 ÁGUAS E PARA TELHA ONDULADA DE FIBROCIMENTO, METÁLICA, PLÁSTICA OU TERMOACÚSTICA, INCLUSO TRANSPORTE VERTICAL. AF_12/2015</t>
  </si>
  <si>
    <t>1.4.1.5</t>
  </si>
  <si>
    <t>1.4.1.6</t>
  </si>
  <si>
    <t>ORSE</t>
  </si>
  <si>
    <t>Passarinheira polipropileno universal para proteção de telhado</t>
  </si>
  <si>
    <t>m</t>
  </si>
  <si>
    <t>1.4.2</t>
  </si>
  <si>
    <t>Impermeabilizações</t>
  </si>
  <si>
    <t>1.4.2.1</t>
  </si>
  <si>
    <t>1.4.2.2</t>
  </si>
  <si>
    <t>1.4.2.3</t>
  </si>
  <si>
    <t>TRATAMENTO DE RODAPÉ COM VÉU DE POLIÉSTER. AF_06/2018</t>
  </si>
  <si>
    <t>1.4.3</t>
  </si>
  <si>
    <t>Tratamentos</t>
  </si>
  <si>
    <t>1.4.3.1</t>
  </si>
  <si>
    <t>TRATAMENTO DE JUNTA DE DILATAÇÃO, COM TARUGO DE POLIETILENO E SELANTE PU, INCLUSO PREENCHIMENTO COM ESPUMA EXPANSIVA PU. AF_06/2018</t>
  </si>
  <si>
    <t>1.5</t>
  </si>
  <si>
    <t>Pavimentação e revestimentos</t>
  </si>
  <si>
    <t>1.5.1</t>
  </si>
  <si>
    <t>Revestimento interno</t>
  </si>
  <si>
    <t>1.5.1.1</t>
  </si>
  <si>
    <t>1.5.2</t>
  </si>
  <si>
    <t>Pisos</t>
  </si>
  <si>
    <t>1.5.2.1</t>
  </si>
  <si>
    <t>1.5.2.2</t>
  </si>
  <si>
    <t>REVESTIMENTO CERÂMICO PARA PISO COM PLACAS TIPO ESMALTADA EXTRA DE DIMENSÕES 35X35 CM APLICADA EM AMBIENTES DE ÁREA ENTRE 5 M2 E 10 M2. AF_02/2023_PE</t>
  </si>
  <si>
    <t>1.5.2.3</t>
  </si>
  <si>
    <t>1.5.3</t>
  </si>
  <si>
    <t>Rodapés</t>
  </si>
  <si>
    <t>1.5.3.1</t>
  </si>
  <si>
    <t>1.5.4</t>
  </si>
  <si>
    <t>Soleiras</t>
  </si>
  <si>
    <t>1.5.4.1</t>
  </si>
  <si>
    <t>SOLEIRA EM GRANITO, LARGURA 15 CM, ESPESSURA 2,0 CM. AF_09/2020</t>
  </si>
  <si>
    <t>1.5.5</t>
  </si>
  <si>
    <t>Peitoris</t>
  </si>
  <si>
    <t>1.5.5.1</t>
  </si>
  <si>
    <t>1.5.6</t>
  </si>
  <si>
    <t>Azulejos</t>
  </si>
  <si>
    <t>1.5.6.1</t>
  </si>
  <si>
    <t>REVESTIMENTO CERÂMICO PARA PAREDES INTERNAS COM PLACAS TIPO ESMALTADA EXTRA DE DIMENSÕES 60X60 CM APLICADAS NA ALTURA INTEIRA DAS PAREDES. AF_02/2023_PE</t>
  </si>
  <si>
    <t>1.5.6.2</t>
  </si>
  <si>
    <t>1.5.7</t>
  </si>
  <si>
    <t>Pintura externa</t>
  </si>
  <si>
    <t>1.5.7.1</t>
  </si>
  <si>
    <t>APLICAÇÃO MANUAL DE PINTURA COM TINTA TEXTURIZADA ACRÍLICA EM PAREDES EXTERNAS DE CASAS, DUAS CORES. AF_06/2014</t>
  </si>
  <si>
    <t>1.5.7.2</t>
  </si>
  <si>
    <t>1.5.8</t>
  </si>
  <si>
    <t>Pintura Interna</t>
  </si>
  <si>
    <t>1.5.8.1</t>
  </si>
  <si>
    <t>EMASSAMENTO COM MASSA LÁTEX, APLICAÇÃO EM PAREDE, UMA DEMÃO, LIXAMENTO MANUAL. AF_04/2023</t>
  </si>
  <si>
    <t>1.5.8.2</t>
  </si>
  <si>
    <t>1.5.8.3</t>
  </si>
  <si>
    <t>1.5.8.4</t>
  </si>
  <si>
    <t>1.5.8.5</t>
  </si>
  <si>
    <t>APLICAÇÃO MANUAL DE FUNDO PREPARADOR ACRÍLICO EM PAREDES, UMA DEMÃO</t>
  </si>
  <si>
    <t>1.5.8.6</t>
  </si>
  <si>
    <t>1.6</t>
  </si>
  <si>
    <t>INSTALAÇÕES</t>
  </si>
  <si>
    <t>1.6.1</t>
  </si>
  <si>
    <t>INSTALAÇÕES ELÉTRICAS E COMUNICAÇÃO</t>
  </si>
  <si>
    <t>1.6.1.1</t>
  </si>
  <si>
    <t>1.6.1.2</t>
  </si>
  <si>
    <t>1.6.1.3</t>
  </si>
  <si>
    <t>HASTE DE ATERRAMENTO 5/8 PARA SPDA - FORNECIMENTO E INSTALAÇÃO. AF_12/2017</t>
  </si>
  <si>
    <t>1.6.1.4</t>
  </si>
  <si>
    <t>INTERRUPTOR SIMPLES (1 MÓDULO), 10A/250V, INCLUINDO SUPORTE E PLACA - FORNECIMENTO E INSTALAÇÃO. AF_03/2023</t>
  </si>
  <si>
    <t>1.6.1.5</t>
  </si>
  <si>
    <t>INTERRUPTOR SIMPLES (1 MÓDULO) COM 1 TOMADA DE EMBUTIR 2P+T 20 A, INCLUINDO SUPORTE E PLACA - FORNECIMENTO E INSTALAÇÃO.</t>
  </si>
  <si>
    <t>1.6.1.6</t>
  </si>
  <si>
    <t>INTERRUPTOR SIMPLES (1 MÓDULO), INTERRUPTOR PARALELO (1 MÓDULO) E 1 TOMADA DE EMBUTIR 2P+T 20 A, INCLUINDO SUPORTE E PLACA - FORNECIMENTO E INSTALAÇÃO.</t>
  </si>
  <si>
    <t>1.6.1.7</t>
  </si>
  <si>
    <t>TOMADA BAIXA DE EMBUTIR (1 MÓDULO), 2P+T 20 A, INCLUINDO SUPORTE E PLACA - FORNECIMENTO E INSTALAÇÃO. AF_03/2023</t>
  </si>
  <si>
    <t>1.6.1.8</t>
  </si>
  <si>
    <t>TOMADA MÉDIA DE EMBUTIR (1 MÓDULO), 2P+T 20 A, INCLUINDO SUPORTE E PLACA - FORNECIMENTO E INSTALAÇÃO. AF_03/2023</t>
  </si>
  <si>
    <t>1.6.1.9</t>
  </si>
  <si>
    <t>TOMADA MÉDIA DE EMBUTIR (2 MÓDULOS), 2P+T 20 A, INCLUINDO SUPORTE E PLACA - FORNECIMENTO E INSTALAÇÃO. AF_03/2023</t>
  </si>
  <si>
    <t>1.6.1.10</t>
  </si>
  <si>
    <t>TOMADA MÉDIA DE EMBUTIR (3 MÓDULOS), 2P+T 20 A, INCLUINDO SUPORTE E PLACA - FORNECIMENTO E INSTALAÇÃO. AF_03/2023</t>
  </si>
  <si>
    <t>1.6.1.11</t>
  </si>
  <si>
    <t>TOMADA ALTA DE EMBUTIR (1 MÓDULO), 2P+T 20 A, INCLUINDO SUPORTE E PLACA - FORNECIMENTO E INSTALAÇÃO. AF_03/2023</t>
  </si>
  <si>
    <t>1.6.1.12</t>
  </si>
  <si>
    <t>CAIXA OCTOGONAL 4" X 4", PVC, INSTALADA EM LAJE - FORNECIMENTO E INSTALAÇÃO. AF_03/2023</t>
  </si>
  <si>
    <t>1.6.1.13</t>
  </si>
  <si>
    <t>LUMINÁRIA ARANDELA TIPO MEIA LUA, DE SOBREPOR, COM 1 LÂMPADA LED DE 12 W, SEM REATOR - FORNECIMENTO E INSTALAÇÃO.</t>
  </si>
  <si>
    <t>1.6.1.14</t>
  </si>
  <si>
    <t>LUMINÁRIA TIPO PLAFON CIRCULAR, DE EMBUTIR, COM LED DE 18 W - FORNECIMENTO E INSTALAÇÃO.</t>
  </si>
  <si>
    <t>1.6.1.15</t>
  </si>
  <si>
    <t>1.6.1.16</t>
  </si>
  <si>
    <t>CAIXA RETANGULAR 4" X 2" BAIXA (0,30 M DO PISO), PVC, INSTALADA EM PAREDE - FORNECIMENTO E INSTALAÇÃO. AF_03/2023</t>
  </si>
  <si>
    <t>1.6.1.17</t>
  </si>
  <si>
    <t>CAIXA RETANGULAR 4" X 2" MÉDIA (1,30 M DO PISO), PVC, INSTALADA EM PAREDE - FORNECIMENTO E INSTALAÇÃO. AF_03/2023</t>
  </si>
  <si>
    <t>1.6.1.18</t>
  </si>
  <si>
    <t>CAIXA RETANGULAR 4" X 2" ALTA (2,00 M DO PISO), PVC, INSTALADA EM PAREDE - FORNECIMENTO E INSTALAÇÃO. AF_03/2023</t>
  </si>
  <si>
    <t>1.6.1.19</t>
  </si>
  <si>
    <t>CABO DE COBRE FLEXÍVEL ISOLADO, 1,5 MM², ANTI-CHAMA 450/750 V, PARA CIRCUITOS TERMINAIS - FORNECIMENTO E INSTALAÇÃO. AF_03/2023 (COR PRETO)</t>
  </si>
  <si>
    <t>1.6.1.20</t>
  </si>
  <si>
    <t>1.6.1.21</t>
  </si>
  <si>
    <t>1.6.1.22</t>
  </si>
  <si>
    <t>1.6.1.23</t>
  </si>
  <si>
    <t>CABO DE COBRE FLEXÍVEL ISOLADO, 2,5 MM², ANTI-CHAMA 450/750 V, PARA CIRCUITOS TERMINAIS - FORNECIMENTO E INSTALAÇÃO. AF_03/2023 (COR AZUL)</t>
  </si>
  <si>
    <t>1.6.1.24</t>
  </si>
  <si>
    <t>1.6.1.25</t>
  </si>
  <si>
    <t>1.6.1.26</t>
  </si>
  <si>
    <t>1.6.1.27</t>
  </si>
  <si>
    <t>CABO DE COBRE FLEXÍVEL ISOLADO, 25 MM², ANTI-CHAMA 0,6/1,0 KV, PARA REDE ENTERRADA DE DISTRIBUIÇÃO DE ENERGIA ELÉTRICA - FORNECIMENTO E INSTALAÇÃO. AF_12/2021 (COR PRETO)</t>
  </si>
  <si>
    <t>1.6.1.28</t>
  </si>
  <si>
    <t>CABO DE COBRE FLEXÍVEL ISOLADO, 25 MM², ANTI-CHAMA 0,6/1,0 KV, PARA REDE ENTERRADA DE DISTRIBUIÇÃO DE ENERGIA ELÉTRICA - FORNECIMENTO E INSTALAÇÃO. AF_12/2021 (COR AZUL)</t>
  </si>
  <si>
    <t>1.6.1.29</t>
  </si>
  <si>
    <t>1.6.1.30</t>
  </si>
  <si>
    <t>ELETRODUTO FLEXÍVEL CORRUGADO, PEAD, DN 63 (2"), PARA REDE ENTERRADA DE DISTRIBUIÇÃO DE ENERGIA ELÉTRICA - FORNECIMENTO E INSTALAÇÃO. AF_12/2021</t>
  </si>
  <si>
    <t>1.6.1.31</t>
  </si>
  <si>
    <t>1.6.1.32</t>
  </si>
  <si>
    <t>1.6.1.33</t>
  </si>
  <si>
    <t>1.6.1.34</t>
  </si>
  <si>
    <t>1.6.1.35</t>
  </si>
  <si>
    <t>TOMADA DE REDE RJ45 - FORNECIMENTO E INSTALAÇÃO. AF_11/2019</t>
  </si>
  <si>
    <t>1.6.1.36</t>
  </si>
  <si>
    <t>CABO ELETRÔNICO CATEGORIA 5E, INSTALADO EM EDIFICAÇÃO RESIDENCIAL - FORNECIMENTO E INSTALAÇÃO. AF_11/2019</t>
  </si>
  <si>
    <t>1.6.1.37</t>
  </si>
  <si>
    <t>1.6.2</t>
  </si>
  <si>
    <t>Água fria</t>
  </si>
  <si>
    <t>1.6.2.1</t>
  </si>
  <si>
    <t>TUBO, PVC, SOLDÁVEL, DN 32MM, INSTALADO EM RAMAL OU SUB-RAMAL DE ÁGUA - FORNECIMENTO E INSTALAÇÃO. AF_06/2022</t>
  </si>
  <si>
    <t>1.6.2.2</t>
  </si>
  <si>
    <t>TUBO, PVC, SOLDÁVEL, DN 25MM, INSTALADO EM RAMAL OU SUB-RAMAL DE ÁGUA - FORNECIMENTO E INSTALAÇÃO. AF_06/2022</t>
  </si>
  <si>
    <t>1.6.2.3</t>
  </si>
  <si>
    <t>CAIXA D´ÁGUA EM POLIETILENO, 500 LITROS - FORNECIMENTO E INSTALAÇÃO. AF_06/2021</t>
  </si>
  <si>
    <t>1.6.2.4</t>
  </si>
  <si>
    <t>TUBO, PVC, SOLDÁVEL, DN 20MM, INSTALADO EM RAMAL OU SUB-RAMAL DE ÁGUA - FORNECIMENTO E INSTALAÇÃO. AF_06/2022</t>
  </si>
  <si>
    <t>1.6.2.5</t>
  </si>
  <si>
    <t>TORNEIRA DE BOIA PARA CAIXA D</t>
  </si>
  <si>
    <t>1.6.2.6</t>
  </si>
  <si>
    <t>ADAPTADOR COM FLANGE E ANEL DE VEDAÇÃO, PVC, SOLDÁVEL, DN 25 MM X 3/4 , INSTALADO EM RESERVAÇÃO DE ÁGUA DE EDIFICAÇÃO QUE POSSUA RESERVATÓRIO DE FIBRA/FIBROCIMENTO FORNECIMENTO E INSTALAÇÃO. AF_06/2016</t>
  </si>
  <si>
    <t>1.6.2.7</t>
  </si>
  <si>
    <t>ADAPTADOR COM FLANGE E ANEL DE VEDAÇÃO, PVC, SOLDÁVEL, DN 32 MM X 1 , INSTALADO EM RESERVAÇÃO DE ÁGUA DE EDIFICAÇÃO QUE POSSUA RESERVATÓRIO DE FIBRA/FIBROCIMENTO FORNECIMENTO E INSTALAÇÃO. AF_06/2016</t>
  </si>
  <si>
    <t>1.6.2.8</t>
  </si>
  <si>
    <t>REGISTRO DE ESFERA, PVC, SOLDÁVEL, COM VOLANTE, DN 32 MM - FORNECIMENTO E INSTALAÇÃO. AF_08/2021</t>
  </si>
  <si>
    <t>1.6.2.9</t>
  </si>
  <si>
    <t>1.6.2.10</t>
  </si>
  <si>
    <t>1.6.2.11</t>
  </si>
  <si>
    <t>TE, PVC, SOLDÁVEL, DN 20MM, INSTALADO EM RAMAL OU SUB-RAMAL DE ÁGUA - FORNECIMENTO E INSTALAÇÃO. AF_06/2022</t>
  </si>
  <si>
    <t>1.6.2.12</t>
  </si>
  <si>
    <t>TE, PVC, SOLDÁVEL, DN 25MM, INSTALADO EM RAMAL OU SUB-RAMAL DE ÁGUA - FORNECIMENTO E INSTALAÇÃO. AF_06/2022</t>
  </si>
  <si>
    <t>1.6.2.13</t>
  </si>
  <si>
    <t>TÊ DE REDUÇÃO, PVC, SOLDÁVEL, DN 25MM X 20MM, INSTALADO EM RAMAL OU SUB-RAMAL DE ÁGUA - FORNECIMENTO E INSTALAÇÃO. AF_06/2022</t>
  </si>
  <si>
    <t>1.6.2.14</t>
  </si>
  <si>
    <t>1.6.2.15</t>
  </si>
  <si>
    <t>1.6.2.16</t>
  </si>
  <si>
    <t>1.6.2.17</t>
  </si>
  <si>
    <t>JOELHO 45 GRAUS, PVC, SOLDÁVEL, DN 20MM, INSTALADO EM RAMAL DE DISTRIBUIÇÃO DE ÁGUA - FORNECIMENTO E INSTALAÇÃO. AF_06/2022</t>
  </si>
  <si>
    <t>1.6.2.18</t>
  </si>
  <si>
    <t>CURVA 90 GRAUS, PVC, SOLDÁVEL, DN 20MM, INSTALADO EM RAMAL DE DISTRIBUIÇÃO DE ÁGUA - FORNECIMENTO E INSTALAÇÃO. AF_06/2022</t>
  </si>
  <si>
    <t>1.6.2.19</t>
  </si>
  <si>
    <t>JOELHO 90 GRAUS, PVC, SOLDÁVEL, DN 25MM, INSTALADO EM RAMAL DE DISTRIBUIÇÃO DE ÁGUA - FORNECIMENTO E INSTALAÇÃO. AF_06/2022</t>
  </si>
  <si>
    <t>1.6.2.20</t>
  </si>
  <si>
    <t>JOELHO 90 GRAUS, PVC, SOLDÁVEL, DN 32MM, INSTALADO EM RAMAL DE DISTRIBUIÇÃO DE ÁGUA - FORNECIMENTO E INSTALAÇÃO. AF_06/2022</t>
  </si>
  <si>
    <t>1.6.2.21</t>
  </si>
  <si>
    <t>1.6.2.22</t>
  </si>
  <si>
    <t>LUVA COM BUCHA DE LATÃO, PVC, SOLDÁVEL, DN 25MM X 3/4 , INSTALADO EM RAMAL OU SUB-RAMAL DE ÁGUA - FORNECIMENTO E INSTALAÇÃO. AF_06/2022</t>
  </si>
  <si>
    <t>1.6.2.23</t>
  </si>
  <si>
    <t>LUVA, PVC, SOLDÁVEL, DN 25MM, INSTALADO EM RAMAL OU SUB-RAMAL DE ÁGUA - FORNECIMENTO E INSTALAÇÃO. AF_06/2022</t>
  </si>
  <si>
    <t>1.6.2.24</t>
  </si>
  <si>
    <t>CHUMBAMENTO LINEAR EM ALVENARIA PARA RAMAIS/DISTRIBUIÇÃO COM DIÂMETROS MENORES OU IGUAIS A 40 MM. AF_05/2015</t>
  </si>
  <si>
    <t>1.6.2.25</t>
  </si>
  <si>
    <t>FIXAÇÃO DE TUBOS HORIZONTAIS DE PVC, CPVC OU COBRE DIÂMETROS MENORES OU IGUAIS A 40 MM COM ABRAÇADEIRA METÁLICA RÍGIDA TIPO D 1/2" , FIXADA DIRETAMENTE NA LAJE. AF_05/2015</t>
  </si>
  <si>
    <t>1.6.2.26</t>
  </si>
  <si>
    <t>KIT CAVALETE PARA MEDIÇÃO DE ÁGUA - ENTRADA PRINCIPAL, EM PVC SOLDÁVEL DN 20 (½") FORNECIMENTO E INSTALAÇÃO (EXCLUSIVE HIDRÔMETRO). AF_11/2016</t>
  </si>
  <si>
    <t>1.6.2.27</t>
  </si>
  <si>
    <t>1.6.2.28</t>
  </si>
  <si>
    <t>CAIXA EM CONCRETO PRÉ-MOLDADO PARA ABRIGO DE HIDRÔMETRO COM DN 20 (½ ) FORNECIMENTO E INSTALAÇÃO. AF_11/2016</t>
  </si>
  <si>
    <t>1.6.2.29</t>
  </si>
  <si>
    <t>CAP PVC, SOLDAVEL, 25 MM, PARA AGUA FRIA PREDIAL</t>
  </si>
  <si>
    <t>1.6.2.30</t>
  </si>
  <si>
    <t>BASE PARA ELEVAÇÃO DE RESEVATÓRIO EM ESTRUTURA DE MADEIRA</t>
  </si>
  <si>
    <t>1.6.3</t>
  </si>
  <si>
    <t>Esgoto</t>
  </si>
  <si>
    <t>1.6.3.1</t>
  </si>
  <si>
    <t>1.6.3.2</t>
  </si>
  <si>
    <t>1.6.3.3</t>
  </si>
  <si>
    <t>TUBO PVC, SERIE NORMAL, ESGOTO PREDIAL, DN 40 MM, FORNECIDO E INSTALADO EM RAMAL DE DESCARGA OU RAMAL DE ESGOTO SANITÁRIO. AF_08/2022</t>
  </si>
  <si>
    <t>1.6.3.4</t>
  </si>
  <si>
    <t>JOELHO 90 GRAUS, PVC, SERIE NORMAL, ESGOTO PREDIAL, DN 100 MM, JUNTA ELÁSTICA, FORNECIDO E INSTALADO EM RAMAL DE DESCARGA OU RAMAL DE ESGOTO SANITÁRIO. AF_08/2022</t>
  </si>
  <si>
    <t>1.6.3.5</t>
  </si>
  <si>
    <t>LUVA SIMPLES, PVC, SERIE NORMAL, ESGOTO PREDIAL, DN 100 MM, JUNTA ELÁSTICA, FORNECIDO E INSTALADO EM RAMAL DE DESCARGA OU RAMAL DE ESGOTO SANITÁRIO. AF_08/2022</t>
  </si>
  <si>
    <t>1.6.3.6</t>
  </si>
  <si>
    <t>JUNÇÃO SIMPLES, PVC, SERIE NORMAL, ESGOTO PREDIAL, DN 50 X 50 MM, JUNTA ELÁSTICA, FORNECIDO E INSTALADO EM RAMAL DE DESCARGA OU RAMAL DE ESGOTO SANITÁRIO. AF_08/2022</t>
  </si>
  <si>
    <t>1.6.3.7</t>
  </si>
  <si>
    <t>1.6.3.8</t>
  </si>
  <si>
    <t>TERMINAL DE VENTILAÇÃO, PVC, SÉRIE NORMAL, ESGOTO PREDIAL, DN 50 MM, JUNTA SOLDÁVEL, FORNECIDO E INSTALADO EM PRUMADA DE ESGOTO SANITÁRIO OU VENTILAÇÃO. AF_08/2022</t>
  </si>
  <si>
    <t>1.6.3.9</t>
  </si>
  <si>
    <t>JOELHO 90 GRAUS, PVC, SERIE NORMAL, ESGOTO PREDIAL, DN 50 MM, JUNTA ELÁSTICA, FORNECIDO E INSTALADO EM RAMAL DE DESCARGA OU RAMAL DE ESGOTO SANITÁRIO. AF_08/2022</t>
  </si>
  <si>
    <t>1.6.3.10</t>
  </si>
  <si>
    <t>JOELHO 45 GRAUS, PVC, SERIE NORMAL, ESGOTO PREDIAL, DN 50 MM, JUNTA ELÁSTICA, FORNECIDO E INSTALADO EM RAMAL DE DESCARGA OU RAMAL DE ESGOTO SANITÁRIO. AF_08/2022</t>
  </si>
  <si>
    <t>1.6.3.11</t>
  </si>
  <si>
    <t>LUVA SIMPLES, PVC, SERIE NORMAL, ESGOTO PREDIAL, DN 50 MM, JUNTA ELÁSTICA, FORNECIDO E INSTALADO EM RAMAL DE DESCARGA OU RAMAL DE ESGOTO SANITÁRIO. AF_08/2022</t>
  </si>
  <si>
    <t>1.6.3.12</t>
  </si>
  <si>
    <t>JOELHO 90 GRAUS, PVC, SERIE NORMAL, ESGOTO PREDIAL, DN 40 MM, JUNTA SOLDÁVEL, FORNECIDO E INSTALADO EM RAMAL DE DESCARGA OU RAMAL DE ESGOTO SANITÁRIO. AF_08/2022</t>
  </si>
  <si>
    <t>1.6.3.13</t>
  </si>
  <si>
    <t>JOELHO 45 GRAUS, PVC, SERIE NORMAL, ESGOTO PREDIAL, DN 40 MM, JUNTA SOLDÁVEL, FORNECIDO E INSTALADO EM RAMAL DE DESCARGA OU RAMAL DE ESGOTO SANITÁRIO. AF_08/2022</t>
  </si>
  <si>
    <t>1.6.3.14</t>
  </si>
  <si>
    <t>LUVA SIMPLES, PVC, SERIE NORMAL, ESGOTO PREDIAL, DN 40 MM, JUNTA SOLDÁVEL, FORNECIDO E INSTALADO EM RAMAL DE DESCARGA OU RAMAL DE ESGOTO SANITÁRIO. AF_08/2022</t>
  </si>
  <si>
    <t>1.6.3.15</t>
  </si>
  <si>
    <t>CAIXA SIFONADA, COM GRELHA QUADRADA, PVC, DN 150 X 150 X 50 MM, JUNTA SOLDÁVEL, FORNECIDA E INSTALADA EM RAMAL DE DESCARGA OU EM RAMAL DE ESGOTO SANITÁRIO. AF_08/2022</t>
  </si>
  <si>
    <t>1.6.3.16</t>
  </si>
  <si>
    <t>1.6.3.17</t>
  </si>
  <si>
    <t>1.6.3.18</t>
  </si>
  <si>
    <t>CAIXA ENTERRADA HIDRÁULICA RETANGULAR, EM CONCRETO PRÉ- MOLDADO, DIMENSÕES INTERNAS: 0,6X0,6X0,5 M. AF_12/2020</t>
  </si>
  <si>
    <t>1.6.3.19</t>
  </si>
  <si>
    <t>1.6.3.20</t>
  </si>
  <si>
    <t>PREPARO DE FUNDO DE VALA COM LARGURA MENOR QUE 1,5 M, COM CAMADA DE AREIA, LANÇAMENTO MANUAL. AF_08/2020</t>
  </si>
  <si>
    <t>1.6.3.21</t>
  </si>
  <si>
    <t>REATERRO MANUAL APILOADO COM SOQUETE. AF_10/2017</t>
  </si>
  <si>
    <t>1.6.3.22</t>
  </si>
  <si>
    <t>JUNÇÃO SIMPLES, PVC, SERIE NORMAL, ESGOTO PREDIAL, DN 100 X 50 MM, JUNTA ELÁSTICA, FORNECIDO E INSTALADO EM RAMAL DE DESCARGA OU RAMAL DE ESGOTO SANITÁRIO.</t>
  </si>
  <si>
    <t>1.6.4</t>
  </si>
  <si>
    <t>Aparelhos, metais e complementos</t>
  </si>
  <si>
    <t>1.6.4.1</t>
  </si>
  <si>
    <t>VASO SANITÁRIO SIFONADO COM CAIXA ACOPLADA LOUÇA BRANCA, INCLUSO ENGATE FLEXÍVEL EM PLÁSTICO BRANCO, 1/2 X 40CM - FORNECIMENTO E INSTALAÇÃO. AF_01/2020</t>
  </si>
  <si>
    <t>1.6.4.2</t>
  </si>
  <si>
    <t>1.6.4.3</t>
  </si>
  <si>
    <t>1.6.4.4</t>
  </si>
  <si>
    <t>BANCADA DE MÁRMORE SINTÉTICO 120 X 60CM, COM CUBA INTEGRADA, INCLUSO SIFÃO TIPO FLEXÍVEL EM PVC, VÁLVULA EM PLÁSTICO CROMADO TIPO AMERICANA E TORNEIRA CROMADA LONGA, DE PAREDE, PADRÃO POPULAR - FORNECIMENTO E INSTALAÇÃO. AF_01/2020</t>
  </si>
  <si>
    <t>1.6.4.5</t>
  </si>
  <si>
    <t>1.6.4.6</t>
  </si>
  <si>
    <t>KIT DE ACESSORIOS PARA BANHEIRO EM METAL CROMADO, 5 PECAS, INCLUSO FIXAÇÃO. AF_01/2020</t>
  </si>
  <si>
    <t>1.6.4.7</t>
  </si>
  <si>
    <t>1.6.4.8</t>
  </si>
  <si>
    <t>LAVATÓRIO LOUÇA BRANCA COM COLUNA, *44 X 35,5* CM, PADRÃO POPULAR, INCLUSO SIFÃO FLEXÍVEL EM PVC, VÁLVULA E ENGATE FLEXÍVEL 30CM EM PLÁSTICO E COM TORNEIRA CROMADA PADRÃO POPULAR - FORNECIMENTO E INSTALAÇÃO. AF_01/2020</t>
  </si>
  <si>
    <t>1.7</t>
  </si>
  <si>
    <t>Esquadrias</t>
  </si>
  <si>
    <t>1.7.1</t>
  </si>
  <si>
    <t>Janelas</t>
  </si>
  <si>
    <t>1.7.1.1</t>
  </si>
  <si>
    <t>JANELA DE ALUMÍNIO DE CORRER COM 2 FOLHAS PARA VIDROS, COM VIDROS, BATENTE, ACABAMENTO COM ACETATO OU BRILHANTE E FERRAGENS. EXCLUSIVE ALIZAR E CONTRAMARCO. FORNECIMENTO E INSTALAÇÃO. AF_12/2019</t>
  </si>
  <si>
    <t>1.7.1.2</t>
  </si>
  <si>
    <t>1.7.1.3</t>
  </si>
  <si>
    <t>1.7.2</t>
  </si>
  <si>
    <t>Portas</t>
  </si>
  <si>
    <t>1.7.2.1</t>
  </si>
  <si>
    <t>KIT DE PORTA DE MADEIRA PARA PINTURA, SEMI-OCA (LEVE OU MÉDIA), PADRÃO POPULAR, 80X210CM, ESPESSURA DE 3,5CM, ITENS INCLUSOS: DOBRADIÇAS, MONTAGEM E INSTALAÇÃO DO BATENTE, FECHADURA COM EXECUÇÃO DO FURO - FORNECIMENTO E INSTALAÇÃO. AF_12/2019</t>
  </si>
  <si>
    <t>1.7.2.2</t>
  </si>
  <si>
    <t>PORTA DE ALUMÍNIO DE ABRIR COM LAMBRI, COM GUARNIÇÃO, FIXAÇÃO COM PARAFUSOS - FORNECIMENTO E INSTALAÇÃO. AF_12/2019</t>
  </si>
  <si>
    <t>1.7.2.3</t>
  </si>
  <si>
    <t>1.7.2.4</t>
  </si>
  <si>
    <t>1.8</t>
  </si>
  <si>
    <t>Pavimentação</t>
  </si>
  <si>
    <t>1.8.1</t>
  </si>
  <si>
    <t>Pavimentação externa (Passeios)</t>
  </si>
  <si>
    <t>1.8.1.1</t>
  </si>
  <si>
    <t>1.8.1.2</t>
  </si>
  <si>
    <t>PISO PODOTÁTIL DE ALERTA OU DIRECIONAL, DE CONCRETO, ASSENTADO SOBRE ARGAMASSA.</t>
  </si>
  <si>
    <t>1.8.1.3</t>
  </si>
  <si>
    <t>1.9</t>
  </si>
  <si>
    <t>Complementações</t>
  </si>
  <si>
    <t>1.9.1</t>
  </si>
  <si>
    <t>Limpeza e arremates finais</t>
  </si>
  <si>
    <t>1.9.1.1</t>
  </si>
  <si>
    <t>1.9.1.2</t>
  </si>
  <si>
    <t>LIMPEZA DE REVESTIMENTO CERÂMICO EM PAREDE UTILIZANDO DETERGENTE NEUTRO E ESCOVAÇÃO MANUAL. AF_04/2019</t>
  </si>
  <si>
    <t>1.9.1.3</t>
  </si>
  <si>
    <t>1.9.1.4</t>
  </si>
  <si>
    <t>LIMPEZA DE BACIA SANITÁRIA, BIDÊ OU MICTÓRIO EM LOUÇA, INCLUSIVE METAIS CORRESPONDENTES. AF_04/2019</t>
  </si>
  <si>
    <t>1.9.1.5</t>
  </si>
  <si>
    <t>LIMPEZA DE BANCADA DE PEDRA (MÁRMORE OU GRANITO). AF_04/2019</t>
  </si>
  <si>
    <t>1.9.1.6</t>
  </si>
  <si>
    <t>1.9.1.7</t>
  </si>
  <si>
    <t>LIMPEZA DE PORTA DE MADEIRA. AF_04/2019</t>
  </si>
  <si>
    <t>1.9.1.8</t>
  </si>
  <si>
    <t>LIMPEZA DE PORTA EM AÇO/ALUMÍNIO. AF_04/2019</t>
  </si>
  <si>
    <t>EXECUÇÃO DE REFEITÓRIO EM CANTEIRO DE OBRA EM CHAPA DE MADEIRA COMPENSADA, NÃO INCLUSO MOBILIÁRIO E EQUIPAMENTOS. AF_02/2016</t>
  </si>
  <si>
    <t>EXECUÇÃO DE RESERVATÓRIO ELEVADO DE ÁGUA (1000 LITROS) EM CANTEIRO DE OBRA, APOIADO EM ESTRUTURA DE MADEIRA. AF_02/2016_PA</t>
  </si>
  <si>
    <t>ASSENTAMENTO DE POSTE DE CONCRETO COM COMPRIMENTO NOMINAL DE 9 M, CARGA NOMINAL DE 150 DAN, ENGASTAMENTO BASE CONCRETADA COM 1 M DE CONCRETO E 0,5 M DE SOLO (NÃO INCLUI FORNECIMENTO). AF_11/2019</t>
  </si>
  <si>
    <t>POSTE DE CONCRETO ARMADO DE SECAO DUPLO T, EXTENSAO DE 9,00 M, RESISTENCIA DE 150 DAN, TIPO D</t>
  </si>
  <si>
    <t>ARMAÇÃO DO SISTEMA DE PAREDES DE CONCRETO, EXECUTADA EM PLATIBANDAS, TELA Q-92. AF_06/2019</t>
  </si>
  <si>
    <t>CONCRETAGEM DE LAJES DE COBERTURA (E=8 CM) PRÉ-MOLDADA EM BANDEJA METÁLICA, COM CONCRETO USINADO BOMBEÁVEL FCK 30 MPA - LANÇAMENTO, ADENSAMENTO E ACABAMENTO</t>
  </si>
  <si>
    <t>INSTALAÇÃO DE LAJE PRÉ-MOLDADA PARA HIS TÉRREA COM CAMINHÃO MUNCK, DO SISTEMA DE PAINÉIS DE PAREDES DE CONCRETO PRÉ-MOLDADO</t>
  </si>
  <si>
    <t>INSTALAÇÃO DE PAINEL DE OITÃO PARA HIS TÉRREA COM CAMINHÃO MUNCK, DO SISTEMA DE PAINÉIS DE PAREDES DE CONCRETO PRÉ- MOLDADO</t>
  </si>
  <si>
    <t>RUFO EM CHAPA DE AÇO GALVANIZADO NÚMERO 24, CORTE DE 25 CM, INCLUSO TRANSPORTE VERTICAL. AF_07/2019</t>
  </si>
  <si>
    <t>IMPERMEABILIZAÇÃO DE SUPERFÍCIE COM ARGAMASSA POLIMÉRICA / MEMBRANA ACRÍLICA, 4 DEMÃOS, REFORÇADA COM VÉU DE POLIÉSTER (MAV). AF_06/2018</t>
  </si>
  <si>
    <t>TRATAMENTO DE RALO OU PONTO EMERGENTE COM ARGAMASSA POLIMÉRICA / MEMBRANA ACRÍLICA REFORÇADO COM VÉU DE POLIÉSTER (MAV). AF_06/2018</t>
  </si>
  <si>
    <t>CHUMBAMENTO LINEAR EM ALVENARIA PARA RAMAIS/DISTRIBUIÇÃO COM DIÂMETROS MAIORES QUE 40 MM E MENORES OU IGUAIS A 75 MM. AF_05/2015</t>
  </si>
  <si>
    <t>REVESTIMENTO CERÂMICO PARA PISO COM PLACAS TIPO ESMALTADA EXTRA DE DIMENSÕES 35X35 CM APLICADA EM AMBIENTES DE ÁREA MENOR QUE 5 M2. AF_02/2023_PE</t>
  </si>
  <si>
    <t>REVESTIMENTO CERÂMICO PARA PISO COM PLACAS TIPO ESMALTADA EXTRA DE DIMENSÕES 35X35 CM APLICADA EM AMBIENTES DE ÁREA MAIOR QUE 10 M2. AF_02/2023_PE</t>
  </si>
  <si>
    <t>RODAPÉ CERÂMICO DE 7CM DE ALTURA COM PLACAS TIPO ESMALTADA EXTRA DE DIMENSÕES 35X35CM. AF_02/2023</t>
  </si>
  <si>
    <t>REVESTIMENTO CERÂMICO PARA PAREDES INTERNAS COM PLACAS TIPO ESMALTADA EXTRA DE DIMENSÕES 60X60 CM APLICADAS A MEIA ALTURA DAS PAREDES. AF_02/2023_PE</t>
  </si>
  <si>
    <t>APLICAÇÃO MANUAL DE FUNDO PREPARADOR ACRÍLICO EM PAREDES EXTERNAS DE CASAS</t>
  </si>
  <si>
    <t>PINTURA LÁTEX ACRÍLICA PREMIUM, APLICAÇÃO MANUAL EM PAREDES, DUAS DEMÃOS. AF_04/2023</t>
  </si>
  <si>
    <t>EMASSAMENTO COM MASSA LÁTEX, APLICAÇÃO EM TETO, UMA DEMÃO, LIXAMENTO MANUAL. AF_04/2023</t>
  </si>
  <si>
    <t>PINTURA LÁTEX ACRÍLICA PREMIUM, APLICAÇÃO MANUAL EM TETO, DUAS DEMÃOS. AF_04/2023</t>
  </si>
  <si>
    <t>APLICAÇÃO MANUAL DE FUNDO PREPARADOR ACRÍLICO EM TETO, UMA DEMÃO</t>
  </si>
  <si>
    <t>CAIXA DE INSPEÇÃO PARA ATERRAMENTO, CIRCULAR, EM POLIETILENO, DIÂMETRO INTERNO = 0,3 M. AF_12/2020</t>
  </si>
  <si>
    <t>LUMINÁRIA TIPO PLAFON CIRCULAR, DE EMBUTIR, COM LED DE 12 W -FORNECIMENTO E INSTALAÇÃO.</t>
  </si>
  <si>
    <t>CABO DE COBRE FLEXÍVEL ISOLADO, 1,5 MM², ANTI-CHAMA 450/750 V, PARA CIRCUITOS TERMINAIS - FORNECIMENTO E INSTALAÇÃO. AF_03/2023 (COR AZUL)</t>
  </si>
  <si>
    <t>CABO DE COBRE FLEXÍVEL ISOLADO, 1,5 MM², ANTI-CHAMA 450/750 V, PARA CIRCUITOS TERMINAIS - FORNECIMENTO E INSTALAÇÃO. AF_03/2023 (COR AMARELO)</t>
  </si>
  <si>
    <t>CABO DE COBRE FLEXÍVEL ISOLADO, 2,5 MM², ANTI-CHAMA 450/750 V, PARA CIRCUITOS TERMINAIS - FORNECIMENTO E INSTALAÇÃO. AF_03/2023 (COR PRETO)</t>
  </si>
  <si>
    <t>CABO DE COBRE FLEXÍVEL ISOLADO, 2,5 MM², ANTI-CHAMA 450/750 V, PARA CIRCUITOS TERMINAIS - FORNECIMENTO E INSTALAÇÃO. AF_03/2023 (COR VERDE)</t>
  </si>
  <si>
    <t>CABO DE COBRE FLEXÍVEL ISOLADO, 6 MM², ANTI-CHAMA 450/750 V, PARA CIRCUITOS TERMINAIS - FORNECIMENTO E INSTALAÇÃO. AF_03/2023 (COR PRETO)</t>
  </si>
  <si>
    <t>CABO DE COBRE FLEXÍVEL ISOLADO, 6 MM², ANTI-CHAMA 450/750 V, PARA CIRCUITOS TERMINAIS - FORNECIMENTO E INSTALAÇÃO. AF_03/2023 (COR VERDE)</t>
  </si>
  <si>
    <t>CABO DE COBRE FLEXÍVEL ISOLADO, 16 MM², ANTI-CHAMA 0,6/1,0 KV, PARA DISTRIBUIÇÃO - FORNECIMENTO E INSTALAÇÃO. AF_12/2015 (COR VERDE)</t>
  </si>
  <si>
    <t>ELETRODUTO FLEXÍVEL CORRUGADO, PEAD, DN 40 MM (1 1/4"), PARA CIRCUITOS TERMINAIS, INSTALADO EM LAJE - FORNECIMENTO E INSTALAÇÃO. AF_03/2023</t>
  </si>
  <si>
    <t>ELETRODUTO FLEXÍVEL LISO, PEAD, DN 32 MM (1"), PARA CIRCUITOS TERMINAIS, INSTALADO EM LAJE - FORNECIMENTO E INSTALAÇÃO. AF_03/2023</t>
  </si>
  <si>
    <t>ELETRODUTO FLEXÍVEL LISO, PEAD, DN 32 MM (1"), PARA CIRCUITOS TERMINAIS, INSTALADO EM PAREDE - FORNECIMENTO E INSTALAÇÃO. AF_03/2023</t>
  </si>
  <si>
    <t>ESCAVAÇÃO MANUAL DE VALA COM PROFUNDIDADE MENOR OU IGUAL A 1,30 M. AF_02/2021</t>
  </si>
  <si>
    <t>REGISTRO DE ESFERA, PVC, SOLDÁVEL, COM VOLANTE, DN 25 MM - FORNECIMENTO E INSTALAÇÃO. AF_08/2021</t>
  </si>
  <si>
    <t>KIT DE REGISTRO DE PRESSÃO BRUTO DE LATÃO ¾", INCLUSIVE CONEXÕES, ROSCÁVEL, INSTALADO EM RAMAL DE ÁGUA FRIA - FORNECIMENTO E INSTALAÇÃO. AF_12/2014</t>
  </si>
  <si>
    <t>TÊ DE REDUÇÃO, PVC, SOLDÁVEL, DN 32MM X 25MM, INSTALADO EM RAMAL OU SUB-RAMAL DE ÁGUA - FORNECIMENTO E INSTALAÇÃO. AF_06/2022</t>
  </si>
  <si>
    <t>BUCHA DE REDUÇÃO, CURTA, PVC, SOLDÁVEL, DN 32 X 25 MM, INSTALADO EM RAMAL OU SUB-RAMAL DE ÁGUA - FORNECIMENTO E INSTALAÇÃO. AF_06/2022</t>
  </si>
  <si>
    <t>BUCHA DE REDUÇÃO, CURTA, PVC, SOLDÁVEL, DN 25 X 20 MM, INSTALADO EM RAMAL OU SUB-RAMAL DE ÁGUA - FORNECIMENTO E INSTALAÇÃO. AF_06/2022</t>
  </si>
  <si>
    <t>JOELHO 90 GRAUS COM BUCHA DE LATÃO, PVC, SOLDÁVEL, DN 25MM, X 1/2 INSTALADO EM RAMAL OU SUB-RAMAL DE ÁGUA - FORNECIMENTO E INSTALAÇÃO. AF_06/2022</t>
  </si>
  <si>
    <t>HIDRÔMETRO DN 20 (½ ), 1,5 M³/H  FORNECIMENTO E INSTALAÇÃO. AF_11/2016</t>
  </si>
  <si>
    <t>TUBO PVC, SERIE NORMAL, ESGOTO PREDIAL, DN 100 MM, FORNECIDO E INSTALADO EM RAMAL DE DESCARGA OU RAMAL DE ESGOTO SANITÁRIO. AF_08/2022</t>
  </si>
  <si>
    <t>TUBO PVC, SERIE NORMAL, ESGOTO PREDIAL, DN 50 MM, FORNECIDO E INSTALADO EM RAMAL DE DESCARGA OU RAMAL DE ESGOTO SANITÁRIO. AF_08/2022</t>
  </si>
  <si>
    <t>TE, PVC, SERIE NORMAL, ESGOTO PREDIAL, DN 50 X 50 MM, JUNTA ELÁSTICA, FORNECIDO E INSTALADO EM PRUMADA DE ESGOTO SANITÁRIO OU VENTILAÇÃO. AF_08/2022</t>
  </si>
  <si>
    <t>CAIXA SIFONADA, PVC, DN 100 X 100 X 50 MM, JUNTA ELÁSTICA, FORNECIDA E INSTALADA EM RAMAL DE DESCARGA OU EM RAMAL DE ESGOTO SANITÁRIO. AF_08/2022</t>
  </si>
  <si>
    <t>CAIXA DE GORDURA PEQUENA (CAPACIDADE: 19 L), CIRCULAR, EM PVC, DIÂMETRO INTERNO= 0,3 M. AF_12/2020</t>
  </si>
  <si>
    <t>ASSENTO SANITÁRIO CONVENCIONAL - FORNECIMENTO E INSTALACAO. AF_01/2020</t>
  </si>
  <si>
    <t>TANQUE DE MÁRMORE SINTÉTICO SUSPENSO, 22L OU EQUIVALENTE, INCLUSO SIFÃO FLEXÍVEL EM PVC, VÁLVULA PLÁSTICA E TORNEIRA DE METAL CROMADO PADRÃO POPULAR - FORNECIMENTO E INSTALAÇÃO. AF_01/2020</t>
  </si>
  <si>
    <t>MANOPLA E CANOPLA CROMADA  FORNECIMENTO E INSTALAÇÃO. AF_01/2020</t>
  </si>
  <si>
    <t>CHUVEIRO ELÉTRICO COMUM CORPO PLÁSTICO, TIPO DUCHA FORNECIMENTO E INSTALAÇÃO. AF_01/2020</t>
  </si>
  <si>
    <t>JANELA DE ALUMÍNIO DE CORRER COM 3 FOLHAS (2 VENEZIANAS E 1 PARA VIDRO), COM VIDROS, BATENTE E FERRAGENS. EXCLUSIVE ACABAMENTO, ALIZAR E CONTRAMARCO. FORNECIMENTO E INSTALAÇÃO. AF_12/2019</t>
  </si>
  <si>
    <t>JANELA DE ALUMÍNIO TIPO MAXIM-AR, COM VIDROS, BATENTE E FERRAGENS. EXCLUSIVE ALIZAR, ACABAMENTO E CONTRAMARCO. FORNECIMENTO E INSTALAÇÃO. AF_12/2019</t>
  </si>
  <si>
    <t>PORTA DE ALUMÍNIO DE ABRIR PARA VIDRO SEM GUARNIÇÃO, 87X210CM, FIXAÇÃO COM PARAFUSOS, INCLUSIVE VIDROS - FORNECIMENTO E INSTALAÇÃO. AF_12/2019</t>
  </si>
  <si>
    <t>PORTA DE FERRO, DE ABRIR, TIPO GRADE COM CHAPA, COM GUARNIÇÕES (ALÇAPÃO). AF_12/2019</t>
  </si>
  <si>
    <t>LASTRO COM MATERIAL GRANULAR (PEDRA BRITADA N.1 E PEDRA BRITADA N.2), APLICADO EM PISOS OU LAJES SOBRE SOLO, ESPESSURA DE *10 CM*. AF_07/2019</t>
  </si>
  <si>
    <t>LIMPEZA DE PISO CERÂMICO OU PORCELANATO UTILIZANDO DETERGENTE NEUTRO E ESCOVAÇÃO MANUAL. AF_04/2019</t>
  </si>
  <si>
    <t>LIMPEZA DE TANQUE OU LAVATÓRIO DE LOUÇA ISOLADO, INCLUSIVE METAIS CORRESPONDENTES. AF_04/2019</t>
  </si>
  <si>
    <t>LIMPEZA DE JANELA DE VIDRO COM CAIXILHO EM AÇO/ALUMÍNIO/PVC. AF_04/2019</t>
  </si>
  <si>
    <t>VALOR TOTAL UH SEM BDI (R$)</t>
  </si>
  <si>
    <t>VALOR TOTAL UH DO BDI (R$)</t>
  </si>
  <si>
    <t>VALOR TOTAL GERAL PARA 29 UNIDADES HABITACIONAIS</t>
  </si>
  <si>
    <t>Valor unit com BDI</t>
  </si>
  <si>
    <t>CNPJ Nº 90.738.196/0001-09</t>
  </si>
  <si>
    <t>Rua Benjamin Constant nº 429, CEP: 98.700-000</t>
  </si>
  <si>
    <t>ORÇAMENTO SINTÉTICO</t>
  </si>
  <si>
    <t>Loteamento Residencial XV de Novembro,</t>
  </si>
  <si>
    <t>Construão de 29 Unidades Habitacionais</t>
  </si>
  <si>
    <t>Secretaria de Habitação e Regularização Fundiária do RS.</t>
  </si>
  <si>
    <r>
      <t>Programa: "</t>
    </r>
    <r>
      <rPr>
        <sz val="11"/>
        <color theme="1"/>
        <rFont val="Calibri"/>
        <family val="2"/>
      </rPr>
      <t xml:space="preserve">A Casa é Sua" </t>
    </r>
  </si>
  <si>
    <t>Bancos</t>
  </si>
  <si>
    <t>Rio Grande do Sul</t>
  </si>
  <si>
    <t>SBC - 07/2023</t>
  </si>
  <si>
    <t>SINAPI - 06/2023</t>
  </si>
  <si>
    <t>B.D.I</t>
  </si>
  <si>
    <t>Encargos Sociais Desonerado: embutido nos preços unitários dos insumos de mão de obra, de acordo com as bases.</t>
  </si>
  <si>
    <t>Ijuí / RS, 31 de agosto de 2023.</t>
  </si>
  <si>
    <t>ANDREI COSSETIN SCZMANSKI</t>
  </si>
  <si>
    <t xml:space="preserve">Prefeito Municipal de Ijuí </t>
  </si>
  <si>
    <t>DIÉBERTON DE BEM HEYDT</t>
  </si>
  <si>
    <t>Engº Civil, CREA-RS 229803</t>
  </si>
  <si>
    <t>MUNICÍPIO DE IJUÍ / RS</t>
  </si>
  <si>
    <t>ENGENHEIRO CIVIL DE OBRA JUNIOR COM ENCARGOS COMPLEMENTARES</t>
  </si>
  <si>
    <t>COMPACTAÇÃO MECÂNICA DE SOLO PARA EXECUÇÃO DE RADIER, PISO DE CONCRETO OU LAJE SOBRE SOLO, COM COMPACTADOR DE SOLOS A PERCUSSÃO. AF_09/2021</t>
  </si>
  <si>
    <t>EXECUÇÃO DE PASSEIO (CALÇADA) OU PISO DE CONCRETO COM CONCRETO MOLDADO IN LOCO, USINADO C20, ACABAMENTO CONVENCIONAL, NÃO ARMADO. AF_08/2022</t>
  </si>
  <si>
    <t>Valor total sem BDI</t>
  </si>
  <si>
    <t>Valor total Com BDI</t>
  </si>
  <si>
    <t>PEITORIL LINEAR EM GRANITO, L = 15CM, COMPRIMENTO DE ATÉ 2M, ASSENTADO COM ARGAMASSA 1:6 COM ADITIVO. AF_11/2020</t>
  </si>
  <si>
    <t>1.6.3.23</t>
  </si>
  <si>
    <t>1.6.3.24</t>
  </si>
  <si>
    <t>TANQUE SÉPTICO CIRCULAR, EM CONCRETO PRÉ-MOLDADO, DIAMETRO INTERNO=1,10 M, ALTURA INTERNA =2,50M, VOLUME ÚLTI; 2138,2 L (PARA 5 CONTRIBUINTES). AF 12/2020 PA</t>
  </si>
  <si>
    <t>SUMIDOURO CIRCULAR EM CONCRETO PRÉ-MOLDADO, DIÂMETRO INTERNO=1,88M, ALTURA INTERNA=2,00M, ÁREA DE INFILTRAÇÃO 13,1M² (PARA 5 CONTRIBUINTES). AF 12/2020 PA</t>
  </si>
  <si>
    <t>ENTRADA DE ENERGIA ELÉTRICA, AÉREA, MONOFÁSICA, COM CAIXA DE SOBREPOR, CABO DE 16 MM2 E DISJUNTOR DIN 50A (NÃO INCLUSO O POSTE DE CONCRETO). AF_07/2020_PS</t>
  </si>
  <si>
    <t>1.6.1.38</t>
  </si>
  <si>
    <t>Transporte cavalo mecânico com semi reboque cap 30 toneladas - Para transporte de placas pré-moldadas</t>
  </si>
  <si>
    <t>VALOR TOTAL GERAL POR UH (R$)</t>
  </si>
  <si>
    <t>ITENS</t>
  </si>
  <si>
    <t>DISCRIMINAÇÃO DOS SERVIÇOS</t>
  </si>
  <si>
    <t>SUB-TOTAIS</t>
  </si>
  <si>
    <t>GLOBAL DA OBRA</t>
  </si>
  <si>
    <t>%</t>
  </si>
  <si>
    <t>DESEMBOLSO MENSAL</t>
  </si>
  <si>
    <t>TOTAL</t>
  </si>
  <si>
    <t>1° MÊS</t>
  </si>
  <si>
    <t>2° MÊS</t>
  </si>
  <si>
    <t>3° MÊS</t>
  </si>
  <si>
    <t>4° MÊS</t>
  </si>
  <si>
    <t>5° MÊS</t>
  </si>
  <si>
    <t>6° MÊS</t>
  </si>
  <si>
    <t>7° MÊS</t>
  </si>
  <si>
    <t>8° MÊS</t>
  </si>
  <si>
    <t>9° MÊS</t>
  </si>
  <si>
    <t>10° MÊS</t>
  </si>
  <si>
    <t>11° MÊS</t>
  </si>
  <si>
    <t>12° MÊS</t>
  </si>
  <si>
    <t>TOTAL ACUMULADO</t>
  </si>
  <si>
    <t>Pg. 01</t>
  </si>
  <si>
    <t>Pg. 02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</si>
</sst>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%"/>
    <numFmt numFmtId="169" formatCode="[$-416]dddd\,\ d&quot; de &quot;mmmm&quot; de &quot;yyyy"/>
    <numFmt numFmtId="170" formatCode="_-* #,##0.000_-;\-* #,##0.000_-;_-* &quot;-&quot;??_-;_-@_-"/>
    <numFmt numFmtId="171" formatCode="_-* #,##0.0000_-;\-* #,##0.0000_-;_-* &quot;-&quot;??_-;_-@_-"/>
    <numFmt numFmtId="172" formatCode="0.0"/>
    <numFmt numFmtId="173" formatCode="_-* #,##0.0000_-;\-* #,##0.0000_-;_-* &quot;-&quot;????_-;_-@_-"/>
    <numFmt numFmtId="174" formatCode="0.00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ECF6"/>
        <bgColor indexed="64"/>
      </patternFill>
    </fill>
    <fill>
      <patternFill patternType="solid">
        <fgColor theme="0" tint="-0.0499799996614456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2">
    <xf numFmtId="0" fontId="0" fillId="0" borderId="0" xfId="0" applyFont="1" applyAlignment="1">
      <alignment/>
    </xf>
    <xf numFmtId="43" fontId="0" fillId="0" borderId="0" xfId="60" applyFont="1" applyAlignment="1">
      <alignment/>
    </xf>
    <xf numFmtId="0" fontId="0" fillId="0" borderId="0" xfId="0" applyAlignment="1">
      <alignment horizontal="center"/>
    </xf>
    <xf numFmtId="0" fontId="43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43" fontId="43" fillId="33" borderId="10" xfId="60" applyFont="1" applyFill="1" applyBorder="1" applyAlignment="1">
      <alignment horizontal="right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43" fontId="45" fillId="0" borderId="0" xfId="60" applyFont="1" applyAlignment="1">
      <alignment/>
    </xf>
    <xf numFmtId="0" fontId="43" fillId="6" borderId="10" xfId="0" applyFont="1" applyFill="1" applyBorder="1" applyAlignment="1">
      <alignment horizontal="left" vertical="center" wrapText="1"/>
    </xf>
    <xf numFmtId="0" fontId="44" fillId="6" borderId="10" xfId="0" applyFont="1" applyFill="1" applyBorder="1" applyAlignment="1">
      <alignment horizontal="center" vertical="center" wrapText="1"/>
    </xf>
    <xf numFmtId="0" fontId="44" fillId="6" borderId="10" xfId="0" applyFont="1" applyFill="1" applyBorder="1" applyAlignment="1">
      <alignment horizontal="left" vertical="center" wrapText="1"/>
    </xf>
    <xf numFmtId="43" fontId="43" fillId="6" borderId="10" xfId="60" applyFont="1" applyFill="1" applyBorder="1" applyAlignment="1">
      <alignment horizontal="right" vertical="center" wrapText="1"/>
    </xf>
    <xf numFmtId="0" fontId="43" fillId="6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6" fillId="34" borderId="10" xfId="0" applyFont="1" applyFill="1" applyBorder="1" applyAlignment="1">
      <alignment horizontal="left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justify" vertical="center" wrapText="1"/>
    </xf>
    <xf numFmtId="0" fontId="44" fillId="2" borderId="10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left" vertical="center" wrapText="1"/>
    </xf>
    <xf numFmtId="0" fontId="44" fillId="2" borderId="10" xfId="0" applyFont="1" applyFill="1" applyBorder="1" applyAlignment="1">
      <alignment horizontal="left" vertical="center" wrapText="1"/>
    </xf>
    <xf numFmtId="43" fontId="43" fillId="2" borderId="10" xfId="60" applyFont="1" applyFill="1" applyBorder="1" applyAlignment="1">
      <alignment horizontal="right" vertic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left" vertical="top"/>
    </xf>
    <xf numFmtId="43" fontId="47" fillId="0" borderId="0" xfId="60" applyFont="1" applyAlignment="1">
      <alignment vertical="top" wrapText="1"/>
    </xf>
    <xf numFmtId="0" fontId="43" fillId="12" borderId="12" xfId="0" applyFont="1" applyFill="1" applyBorder="1" applyAlignment="1">
      <alignment horizontal="center" vertical="center" wrapText="1"/>
    </xf>
    <xf numFmtId="0" fontId="43" fillId="12" borderId="13" xfId="0" applyFont="1" applyFill="1" applyBorder="1" applyAlignment="1">
      <alignment horizontal="center" vertical="center" wrapText="1"/>
    </xf>
    <xf numFmtId="0" fontId="43" fillId="12" borderId="13" xfId="0" applyFont="1" applyFill="1" applyBorder="1" applyAlignment="1">
      <alignment horizontal="left" vertical="center" wrapText="1"/>
    </xf>
    <xf numFmtId="0" fontId="48" fillId="12" borderId="13" xfId="0" applyFont="1" applyFill="1" applyBorder="1" applyAlignment="1">
      <alignment horizontal="center" vertical="center" wrapText="1"/>
    </xf>
    <xf numFmtId="43" fontId="43" fillId="12" borderId="13" xfId="60" applyFont="1" applyFill="1" applyBorder="1" applyAlignment="1">
      <alignment horizontal="center" vertical="center" wrapText="1"/>
    </xf>
    <xf numFmtId="0" fontId="43" fillId="12" borderId="14" xfId="0" applyFont="1" applyFill="1" applyBorder="1" applyAlignment="1">
      <alignment horizontal="right" vertical="center" wrapText="1"/>
    </xf>
    <xf numFmtId="0" fontId="43" fillId="6" borderId="15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43" fillId="2" borderId="15" xfId="0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left" vertical="center" wrapText="1"/>
    </xf>
    <xf numFmtId="43" fontId="46" fillId="34" borderId="18" xfId="60" applyFont="1" applyFill="1" applyBorder="1" applyAlignment="1">
      <alignment horizontal="right" vertical="center" wrapText="1"/>
    </xf>
    <xf numFmtId="0" fontId="42" fillId="0" borderId="0" xfId="0" applyFont="1" applyAlignment="1">
      <alignment vertical="top"/>
    </xf>
    <xf numFmtId="0" fontId="0" fillId="0" borderId="0" xfId="0" applyAlignment="1">
      <alignment vertical="top"/>
    </xf>
    <xf numFmtId="0" fontId="46" fillId="34" borderId="15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right" vertical="center" wrapText="1"/>
    </xf>
    <xf numFmtId="43" fontId="46" fillId="34" borderId="10" xfId="60" applyFont="1" applyFill="1" applyBorder="1" applyAlignment="1">
      <alignment horizontal="right" vertical="center" wrapText="1"/>
    </xf>
    <xf numFmtId="4" fontId="46" fillId="34" borderId="10" xfId="0" applyNumberFormat="1" applyFont="1" applyFill="1" applyBorder="1" applyAlignment="1">
      <alignment horizontal="right" vertical="center" wrapText="1"/>
    </xf>
    <xf numFmtId="4" fontId="46" fillId="34" borderId="10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43" fontId="43" fillId="12" borderId="19" xfId="60" applyFont="1" applyFill="1" applyBorder="1" applyAlignment="1">
      <alignment/>
    </xf>
    <xf numFmtId="0" fontId="45" fillId="8" borderId="12" xfId="0" applyFont="1" applyFill="1" applyBorder="1" applyAlignment="1">
      <alignment horizontal="center"/>
    </xf>
    <xf numFmtId="0" fontId="45" fillId="8" borderId="13" xfId="0" applyFont="1" applyFill="1" applyBorder="1" applyAlignment="1">
      <alignment horizontal="center"/>
    </xf>
    <xf numFmtId="0" fontId="43" fillId="8" borderId="13" xfId="0" applyFont="1" applyFill="1" applyBorder="1" applyAlignment="1">
      <alignment/>
    </xf>
    <xf numFmtId="0" fontId="46" fillId="8" borderId="13" xfId="0" applyFont="1" applyFill="1" applyBorder="1" applyAlignment="1">
      <alignment/>
    </xf>
    <xf numFmtId="0" fontId="46" fillId="8" borderId="13" xfId="0" applyFont="1" applyFill="1" applyBorder="1" applyAlignment="1">
      <alignment horizontal="center"/>
    </xf>
    <xf numFmtId="43" fontId="43" fillId="8" borderId="13" xfId="60" applyFont="1" applyFill="1" applyBorder="1" applyAlignment="1">
      <alignment/>
    </xf>
    <xf numFmtId="0" fontId="45" fillId="8" borderId="15" xfId="0" applyFont="1" applyFill="1" applyBorder="1" applyAlignment="1">
      <alignment horizontal="center"/>
    </xf>
    <xf numFmtId="0" fontId="45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/>
    </xf>
    <xf numFmtId="0" fontId="46" fillId="8" borderId="10" xfId="0" applyFont="1" applyFill="1" applyBorder="1" applyAlignment="1">
      <alignment/>
    </xf>
    <xf numFmtId="0" fontId="46" fillId="8" borderId="10" xfId="0" applyFont="1" applyFill="1" applyBorder="1" applyAlignment="1">
      <alignment horizontal="center"/>
    </xf>
    <xf numFmtId="43" fontId="43" fillId="8" borderId="10" xfId="60" applyFont="1" applyFill="1" applyBorder="1" applyAlignment="1">
      <alignment/>
    </xf>
    <xf numFmtId="0" fontId="45" fillId="8" borderId="17" xfId="0" applyFont="1" applyFill="1" applyBorder="1" applyAlignment="1">
      <alignment horizontal="center"/>
    </xf>
    <xf numFmtId="0" fontId="45" fillId="8" borderId="18" xfId="0" applyFont="1" applyFill="1" applyBorder="1" applyAlignment="1">
      <alignment horizontal="center"/>
    </xf>
    <xf numFmtId="0" fontId="43" fillId="8" borderId="18" xfId="0" applyFont="1" applyFill="1" applyBorder="1" applyAlignment="1">
      <alignment/>
    </xf>
    <xf numFmtId="0" fontId="46" fillId="8" borderId="18" xfId="0" applyFont="1" applyFill="1" applyBorder="1" applyAlignment="1">
      <alignment/>
    </xf>
    <xf numFmtId="0" fontId="46" fillId="8" borderId="18" xfId="0" applyFont="1" applyFill="1" applyBorder="1" applyAlignment="1">
      <alignment horizontal="center"/>
    </xf>
    <xf numFmtId="43" fontId="43" fillId="8" borderId="18" xfId="60" applyFont="1" applyFill="1" applyBorder="1" applyAlignment="1">
      <alignment/>
    </xf>
    <xf numFmtId="0" fontId="45" fillId="12" borderId="20" xfId="0" applyFont="1" applyFill="1" applyBorder="1" applyAlignment="1">
      <alignment horizontal="center"/>
    </xf>
    <xf numFmtId="0" fontId="45" fillId="12" borderId="19" xfId="0" applyFont="1" applyFill="1" applyBorder="1" applyAlignment="1">
      <alignment horizontal="center"/>
    </xf>
    <xf numFmtId="0" fontId="43" fillId="12" borderId="19" xfId="0" applyFont="1" applyFill="1" applyBorder="1" applyAlignment="1">
      <alignment/>
    </xf>
    <xf numFmtId="0" fontId="46" fillId="12" borderId="19" xfId="0" applyFont="1" applyFill="1" applyBorder="1" applyAlignment="1">
      <alignment/>
    </xf>
    <xf numFmtId="0" fontId="46" fillId="12" borderId="19" xfId="0" applyFont="1" applyFill="1" applyBorder="1" applyAlignment="1">
      <alignment horizontal="center"/>
    </xf>
    <xf numFmtId="43" fontId="0" fillId="0" borderId="0" xfId="60" applyFont="1" applyAlignment="1">
      <alignment horizontal="center"/>
    </xf>
    <xf numFmtId="43" fontId="48" fillId="12" borderId="13" xfId="60" applyFont="1" applyFill="1" applyBorder="1" applyAlignment="1">
      <alignment horizontal="center" vertical="center" wrapText="1"/>
    </xf>
    <xf numFmtId="43" fontId="46" fillId="34" borderId="10" xfId="60" applyFont="1" applyFill="1" applyBorder="1" applyAlignment="1">
      <alignment horizontal="center" vertical="center" wrapText="1"/>
    </xf>
    <xf numFmtId="43" fontId="46" fillId="34" borderId="18" xfId="60" applyFont="1" applyFill="1" applyBorder="1" applyAlignment="1">
      <alignment horizontal="center" vertical="center" wrapText="1"/>
    </xf>
    <xf numFmtId="43" fontId="45" fillId="0" borderId="0" xfId="60" applyFont="1" applyAlignment="1">
      <alignment horizontal="center"/>
    </xf>
    <xf numFmtId="43" fontId="46" fillId="8" borderId="13" xfId="60" applyFont="1" applyFill="1" applyBorder="1" applyAlignment="1">
      <alignment horizontal="center"/>
    </xf>
    <xf numFmtId="43" fontId="46" fillId="8" borderId="10" xfId="60" applyFont="1" applyFill="1" applyBorder="1" applyAlignment="1">
      <alignment horizontal="center"/>
    </xf>
    <xf numFmtId="43" fontId="46" fillId="8" borderId="18" xfId="60" applyFont="1" applyFill="1" applyBorder="1" applyAlignment="1">
      <alignment horizontal="center"/>
    </xf>
    <xf numFmtId="43" fontId="46" fillId="12" borderId="19" xfId="60" applyFont="1" applyFill="1" applyBorder="1" applyAlignment="1">
      <alignment horizontal="center"/>
    </xf>
    <xf numFmtId="43" fontId="47" fillId="0" borderId="0" xfId="60" applyFont="1" applyAlignment="1">
      <alignment horizontal="center"/>
    </xf>
    <xf numFmtId="10" fontId="47" fillId="0" borderId="0" xfId="0" applyNumberFormat="1" applyFont="1" applyAlignment="1">
      <alignment horizontal="left"/>
    </xf>
    <xf numFmtId="10" fontId="48" fillId="6" borderId="21" xfId="49" applyNumberFormat="1" applyFont="1" applyFill="1" applyBorder="1" applyAlignment="1">
      <alignment horizontal="right" vertical="center" wrapText="1"/>
    </xf>
    <xf numFmtId="10" fontId="46" fillId="34" borderId="21" xfId="49" applyNumberFormat="1" applyFont="1" applyFill="1" applyBorder="1" applyAlignment="1">
      <alignment horizontal="right" vertical="center" wrapText="1"/>
    </xf>
    <xf numFmtId="9" fontId="43" fillId="8" borderId="22" xfId="49" applyFont="1" applyFill="1" applyBorder="1" applyAlignment="1">
      <alignment/>
    </xf>
    <xf numFmtId="9" fontId="43" fillId="12" borderId="23" xfId="49" applyFont="1" applyFill="1" applyBorder="1" applyAlignment="1">
      <alignment/>
    </xf>
    <xf numFmtId="43" fontId="47" fillId="0" borderId="0" xfId="60" applyFont="1" applyAlignment="1">
      <alignment horizontal="left" vertical="top" wrapText="1"/>
    </xf>
    <xf numFmtId="10" fontId="43" fillId="33" borderId="10" xfId="60" applyNumberFormat="1" applyFont="1" applyFill="1" applyBorder="1" applyAlignment="1">
      <alignment horizontal="right" vertical="center" wrapText="1"/>
    </xf>
    <xf numFmtId="10" fontId="43" fillId="2" borderId="10" xfId="60" applyNumberFormat="1" applyFont="1" applyFill="1" applyBorder="1" applyAlignment="1">
      <alignment horizontal="right" vertical="center" wrapText="1"/>
    </xf>
    <xf numFmtId="0" fontId="49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5" xfId="0" applyFont="1" applyFill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44" fontId="50" fillId="0" borderId="12" xfId="45" applyFont="1" applyBorder="1" applyAlignment="1">
      <alignment horizontal="center" vertical="center"/>
    </xf>
    <xf numFmtId="44" fontId="50" fillId="0" borderId="13" xfId="45" applyFont="1" applyBorder="1" applyAlignment="1">
      <alignment horizontal="center" vertical="center"/>
    </xf>
    <xf numFmtId="10" fontId="50" fillId="0" borderId="27" xfId="0" applyNumberFormat="1" applyFont="1" applyBorder="1" applyAlignment="1">
      <alignment horizontal="center" vertical="center"/>
    </xf>
    <xf numFmtId="44" fontId="50" fillId="34" borderId="12" xfId="45" applyFont="1" applyFill="1" applyBorder="1" applyAlignment="1">
      <alignment horizontal="center" vertical="center"/>
    </xf>
    <xf numFmtId="172" fontId="50" fillId="34" borderId="14" xfId="0" applyNumberFormat="1" applyFont="1" applyFill="1" applyBorder="1" applyAlignment="1">
      <alignment horizontal="center" vertical="center"/>
    </xf>
    <xf numFmtId="172" fontId="50" fillId="0" borderId="14" xfId="0" applyNumberFormat="1" applyFont="1" applyBorder="1" applyAlignment="1">
      <alignment horizontal="center" vertical="center"/>
    </xf>
    <xf numFmtId="172" fontId="50" fillId="34" borderId="0" xfId="0" applyNumberFormat="1" applyFont="1" applyFill="1" applyBorder="1" applyAlignment="1">
      <alignment horizontal="center" vertical="center"/>
    </xf>
    <xf numFmtId="44" fontId="50" fillId="0" borderId="28" xfId="45" applyFont="1" applyBorder="1" applyAlignment="1">
      <alignment horizontal="center" vertical="center"/>
    </xf>
    <xf numFmtId="172" fontId="50" fillId="0" borderId="27" xfId="0" applyNumberFormat="1" applyFont="1" applyBorder="1" applyAlignment="1">
      <alignment horizontal="center" vertical="center"/>
    </xf>
    <xf numFmtId="44" fontId="50" fillId="34" borderId="12" xfId="0" applyNumberFormat="1" applyFont="1" applyFill="1" applyBorder="1" applyAlignment="1">
      <alignment/>
    </xf>
    <xf numFmtId="172" fontId="50" fillId="34" borderId="14" xfId="0" applyNumberFormat="1" applyFont="1" applyFill="1" applyBorder="1" applyAlignment="1">
      <alignment/>
    </xf>
    <xf numFmtId="44" fontId="50" fillId="34" borderId="29" xfId="45" applyFont="1" applyFill="1" applyBorder="1" applyAlignment="1">
      <alignment horizontal="center" vertical="center"/>
    </xf>
    <xf numFmtId="0" fontId="50" fillId="34" borderId="30" xfId="0" applyFont="1" applyFill="1" applyBorder="1" applyAlignment="1">
      <alignment vertical="center"/>
    </xf>
    <xf numFmtId="44" fontId="50" fillId="0" borderId="29" xfId="45" applyFont="1" applyBorder="1" applyAlignment="1">
      <alignment horizontal="center" vertical="center"/>
    </xf>
    <xf numFmtId="0" fontId="50" fillId="0" borderId="30" xfId="0" applyFont="1" applyBorder="1" applyAlignment="1">
      <alignment vertical="center"/>
    </xf>
    <xf numFmtId="0" fontId="50" fillId="0" borderId="30" xfId="0" applyFont="1" applyBorder="1" applyAlignment="1">
      <alignment horizontal="center" vertical="center"/>
    </xf>
    <xf numFmtId="0" fontId="50" fillId="34" borderId="30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/>
    </xf>
    <xf numFmtId="44" fontId="50" fillId="0" borderId="0" xfId="45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44" fontId="50" fillId="34" borderId="31" xfId="0" applyNumberFormat="1" applyFont="1" applyFill="1" applyBorder="1" applyAlignment="1">
      <alignment/>
    </xf>
    <xf numFmtId="172" fontId="50" fillId="34" borderId="30" xfId="0" applyNumberFormat="1" applyFont="1" applyFill="1" applyBorder="1" applyAlignment="1">
      <alignment/>
    </xf>
    <xf numFmtId="44" fontId="50" fillId="0" borderId="15" xfId="45" applyFont="1" applyBorder="1" applyAlignment="1">
      <alignment horizontal="center" vertical="center"/>
    </xf>
    <xf numFmtId="44" fontId="50" fillId="0" borderId="10" xfId="45" applyFont="1" applyBorder="1" applyAlignment="1">
      <alignment horizontal="center" vertical="center"/>
    </xf>
    <xf numFmtId="10" fontId="50" fillId="0" borderId="32" xfId="0" applyNumberFormat="1" applyFont="1" applyBorder="1" applyAlignment="1">
      <alignment horizontal="center" vertical="center"/>
    </xf>
    <xf numFmtId="44" fontId="50" fillId="34" borderId="15" xfId="45" applyFont="1" applyFill="1" applyBorder="1" applyAlignment="1">
      <alignment horizontal="center" vertical="center"/>
    </xf>
    <xf numFmtId="0" fontId="50" fillId="34" borderId="21" xfId="0" applyFont="1" applyFill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44" fontId="50" fillId="0" borderId="33" xfId="45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44" fontId="50" fillId="34" borderId="15" xfId="0" applyNumberFormat="1" applyFont="1" applyFill="1" applyBorder="1" applyAlignment="1">
      <alignment/>
    </xf>
    <xf numFmtId="172" fontId="50" fillId="34" borderId="21" xfId="0" applyNumberFormat="1" applyFont="1" applyFill="1" applyBorder="1" applyAlignment="1">
      <alignment/>
    </xf>
    <xf numFmtId="2" fontId="50" fillId="34" borderId="21" xfId="0" applyNumberFormat="1" applyFont="1" applyFill="1" applyBorder="1" applyAlignment="1">
      <alignment horizontal="center" vertical="center"/>
    </xf>
    <xf numFmtId="2" fontId="50" fillId="0" borderId="21" xfId="0" applyNumberFormat="1" applyFont="1" applyBorder="1" applyAlignment="1">
      <alignment horizontal="center" vertical="center"/>
    </xf>
    <xf numFmtId="2" fontId="50" fillId="34" borderId="0" xfId="0" applyNumberFormat="1" applyFont="1" applyFill="1" applyBorder="1" applyAlignment="1">
      <alignment horizontal="center" vertical="center"/>
    </xf>
    <xf numFmtId="2" fontId="50" fillId="0" borderId="32" xfId="0" applyNumberFormat="1" applyFont="1" applyBorder="1" applyAlignment="1">
      <alignment horizontal="center" vertical="center"/>
    </xf>
    <xf numFmtId="0" fontId="50" fillId="34" borderId="34" xfId="0" applyFont="1" applyFill="1" applyBorder="1" applyAlignment="1">
      <alignment vertical="center"/>
    </xf>
    <xf numFmtId="0" fontId="50" fillId="34" borderId="35" xfId="0" applyFont="1" applyFill="1" applyBorder="1" applyAlignment="1">
      <alignment vertical="center"/>
    </xf>
    <xf numFmtId="0" fontId="50" fillId="0" borderId="34" xfId="0" applyFont="1" applyBorder="1" applyAlignment="1">
      <alignment vertical="center"/>
    </xf>
    <xf numFmtId="0" fontId="50" fillId="0" borderId="35" xfId="0" applyFont="1" applyBorder="1" applyAlignment="1">
      <alignment vertic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34" borderId="34" xfId="0" applyFont="1" applyFill="1" applyBorder="1" applyAlignment="1">
      <alignment horizontal="center" vertical="center"/>
    </xf>
    <xf numFmtId="0" fontId="50" fillId="34" borderId="35" xfId="0" applyFont="1" applyFill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34" borderId="37" xfId="0" applyFont="1" applyFill="1" applyBorder="1" applyAlignment="1">
      <alignment/>
    </xf>
    <xf numFmtId="0" fontId="50" fillId="34" borderId="35" xfId="0" applyFont="1" applyFill="1" applyBorder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44" fontId="50" fillId="0" borderId="0" xfId="45" applyFont="1" applyAlignment="1">
      <alignment horizontal="center" vertical="center"/>
    </xf>
    <xf numFmtId="10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44" fontId="50" fillId="34" borderId="12" xfId="0" applyNumberFormat="1" applyFont="1" applyFill="1" applyBorder="1" applyAlignment="1">
      <alignment horizontal="center" vertical="center"/>
    </xf>
    <xf numFmtId="2" fontId="50" fillId="34" borderId="14" xfId="49" applyNumberFormat="1" applyFont="1" applyFill="1" applyBorder="1" applyAlignment="1">
      <alignment horizontal="center" vertical="center"/>
    </xf>
    <xf numFmtId="44" fontId="50" fillId="0" borderId="28" xfId="0" applyNumberFormat="1" applyFont="1" applyBorder="1" applyAlignment="1">
      <alignment horizontal="center" vertical="center"/>
    </xf>
    <xf numFmtId="2" fontId="50" fillId="0" borderId="27" xfId="49" applyNumberFormat="1" applyFont="1" applyBorder="1" applyAlignment="1">
      <alignment horizontal="center" vertical="center"/>
    </xf>
    <xf numFmtId="2" fontId="50" fillId="0" borderId="27" xfId="0" applyNumberFormat="1" applyFont="1" applyBorder="1" applyAlignment="1">
      <alignment horizontal="center" vertical="center"/>
    </xf>
    <xf numFmtId="2" fontId="50" fillId="34" borderId="14" xfId="0" applyNumberFormat="1" applyFont="1" applyFill="1" applyBorder="1" applyAlignment="1">
      <alignment horizontal="center" vertical="center"/>
    </xf>
    <xf numFmtId="44" fontId="50" fillId="0" borderId="12" xfId="0" applyNumberFormat="1" applyFont="1" applyBorder="1" applyAlignment="1">
      <alignment horizontal="center" vertical="center"/>
    </xf>
    <xf numFmtId="2" fontId="50" fillId="0" borderId="14" xfId="0" applyNumberFormat="1" applyFont="1" applyBorder="1" applyAlignment="1">
      <alignment horizontal="center" vertical="center"/>
    </xf>
    <xf numFmtId="44" fontId="50" fillId="34" borderId="17" xfId="0" applyNumberFormat="1" applyFont="1" applyFill="1" applyBorder="1" applyAlignment="1">
      <alignment horizontal="center" vertical="center"/>
    </xf>
    <xf numFmtId="2" fontId="50" fillId="34" borderId="22" xfId="0" applyNumberFormat="1" applyFont="1" applyFill="1" applyBorder="1" applyAlignment="1">
      <alignment horizontal="center" vertical="center"/>
    </xf>
    <xf numFmtId="44" fontId="50" fillId="0" borderId="38" xfId="0" applyNumberFormat="1" applyFont="1" applyBorder="1" applyAlignment="1">
      <alignment horizontal="center" vertical="center"/>
    </xf>
    <xf numFmtId="2" fontId="50" fillId="0" borderId="39" xfId="0" applyNumberFormat="1" applyFont="1" applyBorder="1" applyAlignment="1">
      <alignment horizontal="center" vertical="center"/>
    </xf>
    <xf numFmtId="44" fontId="50" fillId="0" borderId="17" xfId="0" applyNumberFormat="1" applyFont="1" applyBorder="1" applyAlignment="1">
      <alignment horizontal="center" vertical="center"/>
    </xf>
    <xf numFmtId="2" fontId="50" fillId="0" borderId="2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50" fillId="0" borderId="31" xfId="45" applyFont="1" applyBorder="1" applyAlignment="1">
      <alignment vertical="center"/>
    </xf>
    <xf numFmtId="44" fontId="50" fillId="0" borderId="40" xfId="45" applyFont="1" applyBorder="1" applyAlignment="1">
      <alignment vertical="center"/>
    </xf>
    <xf numFmtId="44" fontId="50" fillId="0" borderId="37" xfId="45" applyFont="1" applyBorder="1" applyAlignment="1">
      <alignment vertical="center"/>
    </xf>
    <xf numFmtId="44" fontId="50" fillId="0" borderId="41" xfId="45" applyFont="1" applyBorder="1" applyAlignment="1">
      <alignment vertical="center"/>
    </xf>
    <xf numFmtId="43" fontId="44" fillId="33" borderId="10" xfId="60" applyFont="1" applyFill="1" applyBorder="1" applyAlignment="1">
      <alignment horizontal="center" vertical="center" wrapText="1"/>
    </xf>
    <xf numFmtId="43" fontId="43" fillId="33" borderId="10" xfId="60" applyFont="1" applyFill="1" applyBorder="1" applyAlignment="1">
      <alignment horizontal="center" vertical="center" wrapText="1"/>
    </xf>
    <xf numFmtId="43" fontId="44" fillId="33" borderId="10" xfId="60" applyFont="1" applyFill="1" applyBorder="1" applyAlignment="1">
      <alignment horizontal="left" vertical="center" wrapText="1"/>
    </xf>
    <xf numFmtId="43" fontId="44" fillId="2" borderId="10" xfId="60" applyFont="1" applyFill="1" applyBorder="1" applyAlignment="1">
      <alignment horizontal="center" vertical="center" wrapText="1"/>
    </xf>
    <xf numFmtId="43" fontId="43" fillId="2" borderId="10" xfId="60" applyFont="1" applyFill="1" applyBorder="1" applyAlignment="1">
      <alignment horizontal="center" vertical="center" wrapText="1"/>
    </xf>
    <xf numFmtId="43" fontId="44" fillId="2" borderId="10" xfId="60" applyFont="1" applyFill="1" applyBorder="1" applyAlignment="1">
      <alignment horizontal="left" vertical="center" wrapText="1"/>
    </xf>
    <xf numFmtId="3" fontId="0" fillId="0" borderId="0" xfId="0" applyNumberFormat="1" applyAlignment="1">
      <alignment horizontal="center"/>
    </xf>
    <xf numFmtId="10" fontId="43" fillId="8" borderId="14" xfId="49" applyNumberFormat="1" applyFont="1" applyFill="1" applyBorder="1" applyAlignment="1">
      <alignment/>
    </xf>
    <xf numFmtId="10" fontId="43" fillId="8" borderId="21" xfId="49" applyNumberFormat="1" applyFont="1" applyFill="1" applyBorder="1" applyAlignment="1">
      <alignment/>
    </xf>
    <xf numFmtId="0" fontId="0" fillId="0" borderId="0" xfId="0" applyAlignment="1">
      <alignment horizontal="left"/>
    </xf>
    <xf numFmtId="43" fontId="47" fillId="0" borderId="42" xfId="60" applyFont="1" applyBorder="1" applyAlignment="1">
      <alignment horizontal="left" vertical="top" wrapText="1"/>
    </xf>
    <xf numFmtId="43" fontId="47" fillId="0" borderId="0" xfId="60" applyFont="1" applyAlignment="1">
      <alignment horizontal="left" vertical="top" wrapText="1"/>
    </xf>
    <xf numFmtId="0" fontId="50" fillId="0" borderId="20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44" fontId="50" fillId="0" borderId="12" xfId="45" applyFont="1" applyBorder="1" applyAlignment="1">
      <alignment horizontal="center" vertical="center"/>
    </xf>
    <xf numFmtId="44" fontId="50" fillId="0" borderId="17" xfId="45" applyFont="1" applyBorder="1" applyAlignment="1">
      <alignment horizontal="center" vertical="center"/>
    </xf>
    <xf numFmtId="44" fontId="50" fillId="0" borderId="13" xfId="45" applyFont="1" applyBorder="1" applyAlignment="1">
      <alignment horizontal="center" vertical="center"/>
    </xf>
    <xf numFmtId="44" fontId="50" fillId="0" borderId="18" xfId="45" applyFont="1" applyBorder="1" applyAlignment="1">
      <alignment horizontal="center" vertical="center"/>
    </xf>
    <xf numFmtId="10" fontId="50" fillId="0" borderId="14" xfId="0" applyNumberFormat="1" applyFont="1" applyBorder="1" applyAlignment="1">
      <alignment horizontal="center" vertical="center"/>
    </xf>
    <xf numFmtId="10" fontId="50" fillId="0" borderId="22" xfId="0" applyNumberFormat="1" applyFont="1" applyBorder="1" applyAlignment="1">
      <alignment horizontal="center" vertical="center"/>
    </xf>
    <xf numFmtId="44" fontId="50" fillId="34" borderId="43" xfId="0" applyNumberFormat="1" applyFont="1" applyFill="1" applyBorder="1" applyAlignment="1">
      <alignment horizontal="center" vertical="center"/>
    </xf>
    <xf numFmtId="44" fontId="50" fillId="34" borderId="44" xfId="0" applyNumberFormat="1" applyFont="1" applyFill="1" applyBorder="1" applyAlignment="1">
      <alignment horizontal="center" vertical="center"/>
    </xf>
    <xf numFmtId="44" fontId="50" fillId="34" borderId="34" xfId="0" applyNumberFormat="1" applyFont="1" applyFill="1" applyBorder="1" applyAlignment="1">
      <alignment horizontal="center" vertical="center"/>
    </xf>
    <xf numFmtId="44" fontId="50" fillId="34" borderId="35" xfId="0" applyNumberFormat="1" applyFont="1" applyFill="1" applyBorder="1" applyAlignment="1">
      <alignment horizontal="center" vertical="center"/>
    </xf>
    <xf numFmtId="0" fontId="50" fillId="0" borderId="45" xfId="0" applyFont="1" applyBorder="1" applyAlignment="1">
      <alignment horizontal="center"/>
    </xf>
    <xf numFmtId="0" fontId="50" fillId="0" borderId="46" xfId="0" applyFont="1" applyBorder="1" applyAlignment="1">
      <alignment horizontal="center"/>
    </xf>
    <xf numFmtId="0" fontId="50" fillId="0" borderId="47" xfId="0" applyFont="1" applyBorder="1" applyAlignment="1">
      <alignment horizontal="center"/>
    </xf>
    <xf numFmtId="0" fontId="50" fillId="0" borderId="48" xfId="0" applyFont="1" applyBorder="1" applyAlignment="1">
      <alignment horizontal="center" vertical="center"/>
    </xf>
    <xf numFmtId="0" fontId="50" fillId="0" borderId="49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50" fillId="0" borderId="52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50" fillId="0" borderId="55" xfId="0" applyFont="1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4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9" fillId="0" borderId="57" xfId="0" applyFont="1" applyBorder="1" applyAlignment="1">
      <alignment horizontal="center" vertical="center"/>
    </xf>
    <xf numFmtId="0" fontId="49" fillId="0" borderId="58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59" xfId="0" applyFont="1" applyBorder="1" applyAlignment="1">
      <alignment horizontal="center" vertical="center"/>
    </xf>
    <xf numFmtId="0" fontId="49" fillId="0" borderId="57" xfId="0" applyFont="1" applyBorder="1" applyAlignment="1">
      <alignment horizontal="center" vertical="center" wrapText="1"/>
    </xf>
    <xf numFmtId="0" fontId="49" fillId="0" borderId="59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49" fillId="0" borderId="61" xfId="0" applyFont="1" applyBorder="1" applyAlignment="1">
      <alignment horizontal="center" vertical="center"/>
    </xf>
    <xf numFmtId="0" fontId="49" fillId="0" borderId="62" xfId="0" applyFont="1" applyBorder="1" applyAlignment="1">
      <alignment horizontal="center" vertical="center"/>
    </xf>
    <xf numFmtId="0" fontId="49" fillId="34" borderId="43" xfId="0" applyFont="1" applyFill="1" applyBorder="1" applyAlignment="1">
      <alignment horizontal="center" vertical="center"/>
    </xf>
    <xf numFmtId="0" fontId="49" fillId="34" borderId="44" xfId="0" applyFont="1" applyFill="1" applyBorder="1" applyAlignment="1">
      <alignment horizontal="center" vertical="center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43" fontId="26" fillId="34" borderId="10" xfId="60" applyFont="1" applyFill="1" applyBorder="1" applyAlignment="1">
      <alignment horizontal="righ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3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3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neDrive\ENGENHARIA\Renato%20Bonadiman\Iju&#237;\A%20Casa%20&#233;%20Sua%20-%2029%20Unidades\oR&#199;AMENTOS\oR&#199;AMENTO%20E%20cRONOGRAMA%20DE%20DESENBOL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</sheetNames>
    <sheetDataSet>
      <sheetData sheetId="0">
        <row r="8">
          <cell r="A8" t="str">
            <v>1.1</v>
          </cell>
          <cell r="D8" t="str">
            <v>Serviços Preliminares e Gerais</v>
          </cell>
        </row>
        <row r="36">
          <cell r="A36" t="str">
            <v>1.2</v>
          </cell>
          <cell r="D36" t="str">
            <v>FUNDAÇÕES</v>
          </cell>
        </row>
        <row r="44">
          <cell r="A44" t="str">
            <v>1.3</v>
          </cell>
          <cell r="D44" t="str">
            <v>Supraestrutura</v>
          </cell>
        </row>
        <row r="61">
          <cell r="A61" t="str">
            <v>1.4</v>
          </cell>
          <cell r="D61" t="str">
            <v>Coberturas e Proteção</v>
          </cell>
        </row>
        <row r="75">
          <cell r="A75" t="str">
            <v>1.5</v>
          </cell>
          <cell r="D75" t="str">
            <v>Pavimentação e revestimentos</v>
          </cell>
        </row>
        <row r="101">
          <cell r="A101" t="str">
            <v>1.6</v>
          </cell>
          <cell r="D101" t="str">
            <v>INSTALAÇÕES</v>
          </cell>
        </row>
        <row r="207">
          <cell r="A207" t="str">
            <v>1.7</v>
          </cell>
          <cell r="D207" t="str">
            <v>Esquadrias</v>
          </cell>
        </row>
        <row r="217">
          <cell r="A217" t="str">
            <v>1.8</v>
          </cell>
          <cell r="D217" t="str">
            <v>Pavimentação</v>
          </cell>
        </row>
        <row r="222">
          <cell r="A222" t="str">
            <v>1.9</v>
          </cell>
          <cell r="D222" t="str">
            <v>Complementações</v>
          </cell>
        </row>
        <row r="239">
          <cell r="A239" t="str">
            <v>Ijuí / RS, 31 de agosto de 2023.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5"/>
  <sheetViews>
    <sheetView view="pageBreakPreview" zoomScale="85" zoomScaleSheetLayoutView="85" zoomScalePageLayoutView="0" workbookViewId="0" topLeftCell="A221">
      <selection activeCell="Q249" sqref="Q249"/>
    </sheetView>
  </sheetViews>
  <sheetFormatPr defaultColWidth="9.140625" defaultRowHeight="15"/>
  <cols>
    <col min="1" max="1" width="7.7109375" style="2" customWidth="1"/>
    <col min="2" max="2" width="9.57421875" style="2" customWidth="1"/>
    <col min="3" max="3" width="7.421875" style="2" customWidth="1"/>
    <col min="4" max="4" width="48.140625" style="0" customWidth="1"/>
    <col min="5" max="5" width="5.7109375" style="0" customWidth="1"/>
    <col min="6" max="6" width="7.8515625" style="2" customWidth="1"/>
    <col min="7" max="7" width="11.8515625" style="2" customWidth="1"/>
    <col min="8" max="8" width="14.00390625" style="79" customWidth="1"/>
    <col min="9" max="9" width="9.7109375" style="0" customWidth="1"/>
    <col min="10" max="10" width="14.57421875" style="1" customWidth="1"/>
    <col min="11" max="11" width="8.7109375" style="0" customWidth="1"/>
    <col min="12" max="12" width="2.140625" style="0" customWidth="1"/>
    <col min="13" max="13" width="11.28125" style="0" customWidth="1"/>
    <col min="14" max="14" width="13.28125" style="0" bestFit="1" customWidth="1"/>
    <col min="15" max="15" width="11.7109375" style="0" bestFit="1" customWidth="1"/>
    <col min="17" max="17" width="8.8515625" style="0" customWidth="1"/>
  </cols>
  <sheetData>
    <row r="1" ht="15">
      <c r="E1" s="16" t="s">
        <v>461</v>
      </c>
    </row>
    <row r="2" spans="4:13" ht="15">
      <c r="D2" s="46" t="s">
        <v>476</v>
      </c>
      <c r="E2" t="s">
        <v>462</v>
      </c>
      <c r="M2">
        <v>20</v>
      </c>
    </row>
    <row r="3" spans="4:13" ht="15">
      <c r="D3" s="47" t="s">
        <v>458</v>
      </c>
      <c r="E3" s="16" t="s">
        <v>464</v>
      </c>
      <c r="M3">
        <v>12</v>
      </c>
    </row>
    <row r="4" spans="4:13" ht="21.75" customHeight="1">
      <c r="D4" s="47" t="s">
        <v>459</v>
      </c>
      <c r="E4" s="47" t="s">
        <v>463</v>
      </c>
      <c r="M4">
        <v>120</v>
      </c>
    </row>
    <row r="5" spans="4:13" ht="18" customHeight="1" thickBot="1">
      <c r="D5" s="24" t="s">
        <v>460</v>
      </c>
      <c r="M5">
        <v>12</v>
      </c>
    </row>
    <row r="6" spans="1:13" ht="33" customHeight="1">
      <c r="A6" s="32" t="s">
        <v>0</v>
      </c>
      <c r="B6" s="33" t="s">
        <v>1</v>
      </c>
      <c r="C6" s="33" t="s">
        <v>2</v>
      </c>
      <c r="D6" s="34" t="s">
        <v>3</v>
      </c>
      <c r="E6" s="33" t="s">
        <v>4</v>
      </c>
      <c r="F6" s="33" t="s">
        <v>5</v>
      </c>
      <c r="G6" s="33" t="s">
        <v>6</v>
      </c>
      <c r="H6" s="80" t="s">
        <v>480</v>
      </c>
      <c r="I6" s="35" t="s">
        <v>457</v>
      </c>
      <c r="J6" s="36" t="s">
        <v>481</v>
      </c>
      <c r="K6" s="37" t="s">
        <v>7</v>
      </c>
      <c r="M6">
        <f>SUM(M2:M5)</f>
        <v>164</v>
      </c>
    </row>
    <row r="7" spans="1:13" ht="18" customHeight="1">
      <c r="A7" s="38">
        <v>1</v>
      </c>
      <c r="B7" s="11"/>
      <c r="C7" s="11"/>
      <c r="D7" s="10" t="s">
        <v>8</v>
      </c>
      <c r="E7" s="12"/>
      <c r="F7" s="11"/>
      <c r="G7" s="14">
        <v>1</v>
      </c>
      <c r="H7" s="13">
        <f>H8+H36+H44+H61+H75+H101+H206+H216+H221</f>
        <v>98482.5748</v>
      </c>
      <c r="I7" s="12"/>
      <c r="J7" s="13">
        <f>(J8+J36+J44+J61+J75+J101+J206+J216+J221)</f>
        <v>116227.58117599999</v>
      </c>
      <c r="K7" s="90">
        <v>1</v>
      </c>
      <c r="M7">
        <v>50</v>
      </c>
    </row>
    <row r="8" spans="1:13" ht="18.75" customHeight="1">
      <c r="A8" s="38" t="s">
        <v>9</v>
      </c>
      <c r="B8" s="11"/>
      <c r="C8" s="11"/>
      <c r="D8" s="10" t="s">
        <v>10</v>
      </c>
      <c r="E8" s="12"/>
      <c r="F8" s="11"/>
      <c r="G8" s="14">
        <v>1</v>
      </c>
      <c r="H8" s="13">
        <f>H9+H19+H23+H30+H34</f>
        <v>12627.594319999998</v>
      </c>
      <c r="I8" s="12"/>
      <c r="J8" s="13">
        <f>J9+J19+J23+J30+J34</f>
        <v>14900.561297599997</v>
      </c>
      <c r="K8" s="90">
        <f aca="true" t="shared" si="0" ref="K8:K39">J8/$J$234</f>
        <v>0.12820159506749537</v>
      </c>
      <c r="M8">
        <f>M6*M7</f>
        <v>8200</v>
      </c>
    </row>
    <row r="9" spans="1:11" ht="14.25">
      <c r="A9" s="38" t="s">
        <v>11</v>
      </c>
      <c r="B9" s="11"/>
      <c r="C9" s="11"/>
      <c r="D9" s="10" t="s">
        <v>12</v>
      </c>
      <c r="E9" s="12"/>
      <c r="F9" s="11"/>
      <c r="G9" s="14">
        <v>1</v>
      </c>
      <c r="H9" s="13">
        <f>SUM(H10:H18)</f>
        <v>4456.6829</v>
      </c>
      <c r="I9" s="12"/>
      <c r="J9" s="13">
        <f>SUM(J10:J18)</f>
        <v>5258.885821999999</v>
      </c>
      <c r="K9" s="90">
        <f t="shared" si="0"/>
        <v>0.04524645328406709</v>
      </c>
    </row>
    <row r="10" spans="1:15" ht="39" customHeight="1">
      <c r="A10" s="48" t="s">
        <v>13</v>
      </c>
      <c r="B10" s="49">
        <v>93208</v>
      </c>
      <c r="C10" s="49" t="s">
        <v>14</v>
      </c>
      <c r="D10" s="17" t="s">
        <v>15</v>
      </c>
      <c r="E10" s="49" t="s">
        <v>16</v>
      </c>
      <c r="F10" s="49">
        <v>1.035</v>
      </c>
      <c r="G10" s="49">
        <v>783.48</v>
      </c>
      <c r="H10" s="81">
        <f>F10*G10</f>
        <v>810.9018</v>
      </c>
      <c r="I10" s="52">
        <f>SUM(G10*18/100)+G10</f>
        <v>924.5064</v>
      </c>
      <c r="J10" s="51">
        <f aca="true" t="shared" si="1" ref="J10:J18">F10*I10</f>
        <v>956.864124</v>
      </c>
      <c r="K10" s="91">
        <f t="shared" si="0"/>
        <v>0.00823267691126643</v>
      </c>
      <c r="O10" s="54">
        <f>H7*1.18</f>
        <v>116209.438264</v>
      </c>
    </row>
    <row r="11" spans="1:15" ht="44.25" customHeight="1">
      <c r="A11" s="48" t="s">
        <v>17</v>
      </c>
      <c r="B11" s="49">
        <v>93210</v>
      </c>
      <c r="C11" s="49" t="s">
        <v>14</v>
      </c>
      <c r="D11" s="17" t="s">
        <v>396</v>
      </c>
      <c r="E11" s="49" t="s">
        <v>16</v>
      </c>
      <c r="F11" s="49">
        <v>0.65</v>
      </c>
      <c r="G11" s="49">
        <v>556.89</v>
      </c>
      <c r="H11" s="81">
        <f aca="true" t="shared" si="2" ref="H11:H43">F11*G11</f>
        <v>361.9785</v>
      </c>
      <c r="I11" s="52">
        <f aca="true" t="shared" si="3" ref="I11:I43">SUM(G11*18/100)+G11</f>
        <v>657.1302</v>
      </c>
      <c r="J11" s="51">
        <f t="shared" si="1"/>
        <v>427.13462999999996</v>
      </c>
      <c r="K11" s="91">
        <f t="shared" si="0"/>
        <v>0.003674985108338464</v>
      </c>
      <c r="O11" s="54">
        <f>H7*1.18</f>
        <v>116209.438264</v>
      </c>
    </row>
    <row r="12" spans="1:11" ht="47.25" customHeight="1">
      <c r="A12" s="48" t="s">
        <v>18</v>
      </c>
      <c r="B12" s="49">
        <v>93212</v>
      </c>
      <c r="C12" s="49" t="s">
        <v>14</v>
      </c>
      <c r="D12" s="17" t="s">
        <v>19</v>
      </c>
      <c r="E12" s="49" t="s">
        <v>16</v>
      </c>
      <c r="F12" s="49">
        <v>0.34</v>
      </c>
      <c r="G12" s="53">
        <v>909.84</v>
      </c>
      <c r="H12" s="81">
        <f t="shared" si="2"/>
        <v>309.34560000000005</v>
      </c>
      <c r="I12" s="52">
        <f t="shared" si="3"/>
        <v>1073.6112</v>
      </c>
      <c r="J12" s="51">
        <f t="shared" si="1"/>
        <v>365.02780800000005</v>
      </c>
      <c r="K12" s="91">
        <f t="shared" si="0"/>
        <v>0.0031406298256112654</v>
      </c>
    </row>
    <row r="13" spans="1:11" ht="50.25" customHeight="1">
      <c r="A13" s="48" t="s">
        <v>20</v>
      </c>
      <c r="B13" s="49">
        <v>93582</v>
      </c>
      <c r="C13" s="49" t="s">
        <v>14</v>
      </c>
      <c r="D13" s="17" t="s">
        <v>21</v>
      </c>
      <c r="E13" s="49" t="s">
        <v>16</v>
      </c>
      <c r="F13" s="49">
        <v>0.65</v>
      </c>
      <c r="G13" s="49">
        <v>245.63</v>
      </c>
      <c r="H13" s="81">
        <f t="shared" si="2"/>
        <v>159.6595</v>
      </c>
      <c r="I13" s="52">
        <f t="shared" si="3"/>
        <v>289.8434</v>
      </c>
      <c r="J13" s="51">
        <f t="shared" si="1"/>
        <v>188.39820999999998</v>
      </c>
      <c r="K13" s="91">
        <f t="shared" si="0"/>
        <v>0.001620942362335788</v>
      </c>
    </row>
    <row r="14" spans="1:11" ht="47.25" customHeight="1">
      <c r="A14" s="48" t="s">
        <v>22</v>
      </c>
      <c r="B14" s="49">
        <v>93214</v>
      </c>
      <c r="C14" s="49" t="s">
        <v>14</v>
      </c>
      <c r="D14" s="17" t="s">
        <v>397</v>
      </c>
      <c r="E14" s="49" t="s">
        <v>23</v>
      </c>
      <c r="F14" s="49">
        <v>0.17</v>
      </c>
      <c r="G14" s="53">
        <v>4827.72</v>
      </c>
      <c r="H14" s="81">
        <f t="shared" si="2"/>
        <v>820.7124000000001</v>
      </c>
      <c r="I14" s="52">
        <f t="shared" si="3"/>
        <v>5696.7096</v>
      </c>
      <c r="J14" s="51">
        <f t="shared" si="1"/>
        <v>968.440632</v>
      </c>
      <c r="K14" s="91">
        <f t="shared" si="0"/>
        <v>0.00833227898405215</v>
      </c>
    </row>
    <row r="15" spans="1:20" ht="39.75" customHeight="1">
      <c r="A15" s="48" t="s">
        <v>24</v>
      </c>
      <c r="B15" s="49">
        <v>93585</v>
      </c>
      <c r="C15" s="49" t="s">
        <v>14</v>
      </c>
      <c r="D15" s="17" t="s">
        <v>25</v>
      </c>
      <c r="E15" s="49" t="s">
        <v>16</v>
      </c>
      <c r="F15" s="49">
        <v>0</v>
      </c>
      <c r="G15" s="53">
        <v>1180.64</v>
      </c>
      <c r="H15" s="81">
        <f t="shared" si="2"/>
        <v>0</v>
      </c>
      <c r="I15" s="52">
        <f t="shared" si="3"/>
        <v>1393.1552000000001</v>
      </c>
      <c r="J15" s="51">
        <f t="shared" si="1"/>
        <v>0</v>
      </c>
      <c r="K15" s="91">
        <f t="shared" si="0"/>
        <v>0</v>
      </c>
      <c r="Q15" s="2"/>
      <c r="R15" s="2"/>
      <c r="S15" s="2"/>
      <c r="T15" s="2"/>
    </row>
    <row r="16" spans="1:16" ht="17.25" customHeight="1">
      <c r="A16" s="48" t="s">
        <v>26</v>
      </c>
      <c r="B16" s="49">
        <v>98459</v>
      </c>
      <c r="C16" s="49" t="s">
        <v>14</v>
      </c>
      <c r="D16" s="17" t="s">
        <v>27</v>
      </c>
      <c r="E16" s="49" t="s">
        <v>16</v>
      </c>
      <c r="F16" s="49">
        <v>20</v>
      </c>
      <c r="G16" s="49">
        <v>74.36</v>
      </c>
      <c r="H16" s="81">
        <f t="shared" si="2"/>
        <v>1487.2</v>
      </c>
      <c r="I16" s="52">
        <f t="shared" si="3"/>
        <v>87.7448</v>
      </c>
      <c r="J16" s="51">
        <f t="shared" si="1"/>
        <v>1754.896</v>
      </c>
      <c r="K16" s="91">
        <f t="shared" si="0"/>
        <v>0.015098791373302459</v>
      </c>
      <c r="M16" s="183">
        <v>1364</v>
      </c>
      <c r="N16" s="2">
        <v>103</v>
      </c>
      <c r="O16" s="2">
        <f>N16/29</f>
        <v>3.5517241379310347</v>
      </c>
      <c r="P16" s="2">
        <f>M16/O16</f>
        <v>384.0388349514563</v>
      </c>
    </row>
    <row r="17" spans="1:11" ht="42" customHeight="1">
      <c r="A17" s="48" t="s">
        <v>28</v>
      </c>
      <c r="B17" s="49">
        <v>4813</v>
      </c>
      <c r="C17" s="49" t="s">
        <v>14</v>
      </c>
      <c r="D17" s="17" t="s">
        <v>29</v>
      </c>
      <c r="E17" s="49" t="s">
        <v>16</v>
      </c>
      <c r="F17" s="49">
        <v>0.01</v>
      </c>
      <c r="G17" s="49">
        <v>232.35</v>
      </c>
      <c r="H17" s="81">
        <f t="shared" si="2"/>
        <v>2.3235</v>
      </c>
      <c r="I17" s="52">
        <f t="shared" si="3"/>
        <v>274.173</v>
      </c>
      <c r="J17" s="51">
        <f t="shared" si="1"/>
        <v>2.74173</v>
      </c>
      <c r="K17" s="91">
        <f t="shared" si="0"/>
        <v>2.3589323396899047E-05</v>
      </c>
    </row>
    <row r="18" spans="1:11" ht="43.5" customHeight="1">
      <c r="A18" s="48" t="s">
        <v>30</v>
      </c>
      <c r="B18" s="49">
        <v>93207</v>
      </c>
      <c r="C18" s="49" t="s">
        <v>14</v>
      </c>
      <c r="D18" s="17" t="s">
        <v>31</v>
      </c>
      <c r="E18" s="49" t="s">
        <v>16</v>
      </c>
      <c r="F18" s="49">
        <v>0.48</v>
      </c>
      <c r="G18" s="53">
        <v>1051.17</v>
      </c>
      <c r="H18" s="81">
        <f t="shared" si="2"/>
        <v>504.5616</v>
      </c>
      <c r="I18" s="52">
        <f t="shared" si="3"/>
        <v>1240.3806</v>
      </c>
      <c r="J18" s="51">
        <f t="shared" si="1"/>
        <v>595.3826879999999</v>
      </c>
      <c r="K18" s="91">
        <f t="shared" si="0"/>
        <v>0.00512255939576364</v>
      </c>
    </row>
    <row r="19" spans="1:11" ht="14.25">
      <c r="A19" s="39" t="s">
        <v>32</v>
      </c>
      <c r="B19" s="4"/>
      <c r="C19" s="4"/>
      <c r="D19" s="3" t="s">
        <v>33</v>
      </c>
      <c r="E19" s="5"/>
      <c r="F19" s="4"/>
      <c r="G19" s="15">
        <v>1</v>
      </c>
      <c r="H19" s="6">
        <f>SUM(H20:H22)</f>
        <v>95.35402000000002</v>
      </c>
      <c r="I19" s="5"/>
      <c r="J19" s="6">
        <f>SUM(J20:J22)</f>
        <v>112.51774360000002</v>
      </c>
      <c r="K19" s="95">
        <f t="shared" si="0"/>
        <v>0.0009680812631695201</v>
      </c>
    </row>
    <row r="20" spans="1:11" ht="70.5" customHeight="1">
      <c r="A20" s="48" t="s">
        <v>34</v>
      </c>
      <c r="B20" s="49">
        <v>100599</v>
      </c>
      <c r="C20" s="49" t="s">
        <v>14</v>
      </c>
      <c r="D20" s="17" t="s">
        <v>398</v>
      </c>
      <c r="E20" s="49" t="s">
        <v>23</v>
      </c>
      <c r="F20" s="49">
        <v>0.034</v>
      </c>
      <c r="G20" s="49">
        <v>452.65</v>
      </c>
      <c r="H20" s="81">
        <f t="shared" si="2"/>
        <v>15.3901</v>
      </c>
      <c r="I20" s="52">
        <f t="shared" si="3"/>
        <v>534.127</v>
      </c>
      <c r="J20" s="51">
        <f>F20*I20</f>
        <v>18.160318</v>
      </c>
      <c r="K20" s="91">
        <f t="shared" si="0"/>
        <v>0.00015624792167446354</v>
      </c>
    </row>
    <row r="21" spans="1:11" ht="61.5" customHeight="1">
      <c r="A21" s="48" t="s">
        <v>35</v>
      </c>
      <c r="B21" s="49">
        <v>101498</v>
      </c>
      <c r="C21" s="49" t="s">
        <v>14</v>
      </c>
      <c r="D21" s="17" t="s">
        <v>36</v>
      </c>
      <c r="E21" s="49" t="s">
        <v>23</v>
      </c>
      <c r="F21" s="49">
        <v>0.034</v>
      </c>
      <c r="G21" s="53">
        <v>1690.96</v>
      </c>
      <c r="H21" s="81">
        <f t="shared" si="2"/>
        <v>57.49264000000001</v>
      </c>
      <c r="I21" s="52">
        <f t="shared" si="3"/>
        <v>1995.3328000000001</v>
      </c>
      <c r="J21" s="51">
        <f>F21*I21</f>
        <v>67.84131520000001</v>
      </c>
      <c r="K21" s="91">
        <f t="shared" si="0"/>
        <v>0.0005836937714230662</v>
      </c>
    </row>
    <row r="22" spans="1:11" ht="41.25" customHeight="1">
      <c r="A22" s="48" t="s">
        <v>37</v>
      </c>
      <c r="B22" s="49">
        <v>41196</v>
      </c>
      <c r="C22" s="49" t="s">
        <v>14</v>
      </c>
      <c r="D22" s="17" t="s">
        <v>399</v>
      </c>
      <c r="E22" s="49" t="s">
        <v>23</v>
      </c>
      <c r="F22" s="49">
        <v>0.034</v>
      </c>
      <c r="G22" s="49">
        <v>660.92</v>
      </c>
      <c r="H22" s="81">
        <f t="shared" si="2"/>
        <v>22.47128</v>
      </c>
      <c r="I22" s="52">
        <f t="shared" si="3"/>
        <v>779.8856</v>
      </c>
      <c r="J22" s="51">
        <f>F22*I22</f>
        <v>26.5161104</v>
      </c>
      <c r="K22" s="91">
        <f t="shared" si="0"/>
        <v>0.00022813957007199038</v>
      </c>
    </row>
    <row r="23" spans="1:11" ht="20.25" customHeight="1">
      <c r="A23" s="39" t="s">
        <v>38</v>
      </c>
      <c r="B23" s="4"/>
      <c r="C23" s="4"/>
      <c r="D23" s="3" t="s">
        <v>39</v>
      </c>
      <c r="E23" s="5"/>
      <c r="F23" s="4"/>
      <c r="G23" s="15">
        <v>1</v>
      </c>
      <c r="H23" s="6">
        <f>SUM(H24:H29)</f>
        <v>6078.309399999999</v>
      </c>
      <c r="I23" s="5"/>
      <c r="J23" s="6">
        <f>SUM(J24:J29)</f>
        <v>7172.405091999999</v>
      </c>
      <c r="K23" s="95">
        <f t="shared" si="0"/>
        <v>0.06171000909963908</v>
      </c>
    </row>
    <row r="24" spans="1:11" ht="24.75" customHeight="1">
      <c r="A24" s="48" t="s">
        <v>40</v>
      </c>
      <c r="B24" s="49">
        <v>94295</v>
      </c>
      <c r="C24" s="49" t="s">
        <v>14</v>
      </c>
      <c r="D24" s="17" t="s">
        <v>41</v>
      </c>
      <c r="E24" s="49" t="s">
        <v>42</v>
      </c>
      <c r="F24" s="49">
        <v>0.15</v>
      </c>
      <c r="G24" s="53">
        <v>8042.96</v>
      </c>
      <c r="H24" s="81">
        <f t="shared" si="2"/>
        <v>1206.444</v>
      </c>
      <c r="I24" s="52">
        <f t="shared" si="3"/>
        <v>9490.6928</v>
      </c>
      <c r="J24" s="51">
        <f aca="true" t="shared" si="4" ref="J24:J29">F24*I24</f>
        <v>1423.60392</v>
      </c>
      <c r="K24" s="91">
        <f t="shared" si="0"/>
        <v>0.012248417334301044</v>
      </c>
    </row>
    <row r="25" spans="1:11" ht="30" customHeight="1">
      <c r="A25" s="48" t="s">
        <v>43</v>
      </c>
      <c r="B25" s="49">
        <v>93564</v>
      </c>
      <c r="C25" s="49" t="s">
        <v>14</v>
      </c>
      <c r="D25" s="17" t="s">
        <v>44</v>
      </c>
      <c r="E25" s="49" t="s">
        <v>42</v>
      </c>
      <c r="F25" s="49">
        <v>0</v>
      </c>
      <c r="G25" s="53">
        <v>4460.07</v>
      </c>
      <c r="H25" s="81">
        <f t="shared" si="2"/>
        <v>0</v>
      </c>
      <c r="I25" s="52">
        <f t="shared" si="3"/>
        <v>5262.8826</v>
      </c>
      <c r="J25" s="51">
        <f t="shared" si="4"/>
        <v>0</v>
      </c>
      <c r="K25" s="91">
        <f t="shared" si="0"/>
        <v>0</v>
      </c>
    </row>
    <row r="26" spans="1:11" ht="21.75" customHeight="1">
      <c r="A26" s="48" t="s">
        <v>45</v>
      </c>
      <c r="B26" s="49">
        <v>93563</v>
      </c>
      <c r="C26" s="49" t="s">
        <v>14</v>
      </c>
      <c r="D26" s="17" t="s">
        <v>46</v>
      </c>
      <c r="E26" s="49" t="s">
        <v>42</v>
      </c>
      <c r="F26" s="49">
        <v>0</v>
      </c>
      <c r="G26" s="53">
        <v>4462.32</v>
      </c>
      <c r="H26" s="81">
        <f t="shared" si="2"/>
        <v>0</v>
      </c>
      <c r="I26" s="52">
        <f t="shared" si="3"/>
        <v>5265.5376</v>
      </c>
      <c r="J26" s="51">
        <f t="shared" si="4"/>
        <v>0</v>
      </c>
      <c r="K26" s="91">
        <f t="shared" si="0"/>
        <v>0</v>
      </c>
    </row>
    <row r="27" spans="1:13" ht="19.5" customHeight="1">
      <c r="A27" s="48" t="s">
        <v>47</v>
      </c>
      <c r="B27" s="49">
        <v>88326</v>
      </c>
      <c r="C27" s="49" t="s">
        <v>14</v>
      </c>
      <c r="D27" s="17" t="s">
        <v>48</v>
      </c>
      <c r="E27" s="49" t="s">
        <v>49</v>
      </c>
      <c r="F27" s="49">
        <v>148.96</v>
      </c>
      <c r="G27" s="49">
        <v>19.99</v>
      </c>
      <c r="H27" s="81">
        <f t="shared" si="2"/>
        <v>2977.7104</v>
      </c>
      <c r="I27" s="52">
        <f t="shared" si="3"/>
        <v>23.588199999999997</v>
      </c>
      <c r="J27" s="51">
        <f t="shared" si="4"/>
        <v>3513.6982719999996</v>
      </c>
      <c r="K27" s="91">
        <f t="shared" si="0"/>
        <v>0.030231191567854365</v>
      </c>
      <c r="M27">
        <f>12*30*12</f>
        <v>4320</v>
      </c>
    </row>
    <row r="28" spans="1:11" ht="19.5" customHeight="1">
      <c r="A28" s="48" t="s">
        <v>50</v>
      </c>
      <c r="B28" s="49">
        <v>41776</v>
      </c>
      <c r="C28" s="49" t="s">
        <v>14</v>
      </c>
      <c r="D28" s="17" t="s">
        <v>51</v>
      </c>
      <c r="E28" s="49" t="s">
        <v>49</v>
      </c>
      <c r="F28" s="49">
        <v>0</v>
      </c>
      <c r="G28" s="49">
        <v>21.04</v>
      </c>
      <c r="H28" s="81">
        <f t="shared" si="2"/>
        <v>0</v>
      </c>
      <c r="I28" s="52">
        <f t="shared" si="3"/>
        <v>24.827199999999998</v>
      </c>
      <c r="J28" s="51">
        <f t="shared" si="4"/>
        <v>0</v>
      </c>
      <c r="K28" s="91">
        <f t="shared" si="0"/>
        <v>0</v>
      </c>
    </row>
    <row r="29" spans="1:14" ht="33" customHeight="1">
      <c r="A29" s="48" t="s">
        <v>52</v>
      </c>
      <c r="B29" s="49">
        <v>93565</v>
      </c>
      <c r="C29" s="49" t="s">
        <v>14</v>
      </c>
      <c r="D29" s="17" t="s">
        <v>477</v>
      </c>
      <c r="E29" s="49" t="s">
        <v>42</v>
      </c>
      <c r="F29" s="49">
        <v>0.15</v>
      </c>
      <c r="G29" s="53">
        <v>12627.7</v>
      </c>
      <c r="H29" s="81">
        <f t="shared" si="2"/>
        <v>1894.155</v>
      </c>
      <c r="I29" s="52">
        <f t="shared" si="3"/>
        <v>14900.686000000002</v>
      </c>
      <c r="J29" s="51">
        <f t="shared" si="4"/>
        <v>2235.1029000000003</v>
      </c>
      <c r="K29" s="91">
        <f t="shared" si="0"/>
        <v>0.019230400197483677</v>
      </c>
      <c r="N29" s="54">
        <f>J7</f>
        <v>116227.58117599999</v>
      </c>
    </row>
    <row r="30" spans="1:11" ht="14.25">
      <c r="A30" s="39" t="s">
        <v>53</v>
      </c>
      <c r="B30" s="4"/>
      <c r="C30" s="4"/>
      <c r="D30" s="3" t="s">
        <v>54</v>
      </c>
      <c r="E30" s="5"/>
      <c r="F30" s="4"/>
      <c r="G30" s="15">
        <v>1</v>
      </c>
      <c r="H30" s="6">
        <f>SUM(H31:H33)</f>
        <v>1691.6879999999996</v>
      </c>
      <c r="I30" s="5"/>
      <c r="J30" s="6">
        <f>SUM(J31:J33)</f>
        <v>1996.1918399999997</v>
      </c>
      <c r="K30" s="95">
        <f t="shared" si="0"/>
        <v>0.017174854882140458</v>
      </c>
    </row>
    <row r="31" spans="1:11" ht="32.25" customHeight="1">
      <c r="A31" s="48" t="s">
        <v>55</v>
      </c>
      <c r="B31" s="49">
        <v>99058</v>
      </c>
      <c r="C31" s="49" t="s">
        <v>14</v>
      </c>
      <c r="D31" s="17" t="s">
        <v>56</v>
      </c>
      <c r="E31" s="49" t="s">
        <v>23</v>
      </c>
      <c r="F31" s="49">
        <v>1</v>
      </c>
      <c r="G31" s="49">
        <v>11.52</v>
      </c>
      <c r="H31" s="81">
        <f t="shared" si="2"/>
        <v>11.52</v>
      </c>
      <c r="I31" s="52">
        <f t="shared" si="3"/>
        <v>13.593599999999999</v>
      </c>
      <c r="J31" s="51">
        <f>F31*I31</f>
        <v>13.593599999999999</v>
      </c>
      <c r="K31" s="91">
        <f t="shared" si="0"/>
        <v>0.00011695674866893781</v>
      </c>
    </row>
    <row r="32" spans="1:11" ht="44.25" customHeight="1">
      <c r="A32" s="48" t="s">
        <v>57</v>
      </c>
      <c r="B32" s="49">
        <v>99059</v>
      </c>
      <c r="C32" s="49" t="s">
        <v>14</v>
      </c>
      <c r="D32" s="17" t="s">
        <v>58</v>
      </c>
      <c r="E32" s="49" t="s">
        <v>59</v>
      </c>
      <c r="F32" s="49">
        <v>36.3</v>
      </c>
      <c r="G32" s="49">
        <v>45.36</v>
      </c>
      <c r="H32" s="81">
        <f t="shared" si="2"/>
        <v>1646.5679999999998</v>
      </c>
      <c r="I32" s="52">
        <f t="shared" si="3"/>
        <v>53.5248</v>
      </c>
      <c r="J32" s="51">
        <f>F32*I32</f>
        <v>1942.95024</v>
      </c>
      <c r="K32" s="91">
        <f t="shared" si="0"/>
        <v>0.01671677428318712</v>
      </c>
    </row>
    <row r="33" spans="1:11" ht="37.5" customHeight="1">
      <c r="A33" s="48" t="s">
        <v>60</v>
      </c>
      <c r="B33" s="49">
        <v>99062</v>
      </c>
      <c r="C33" s="49" t="s">
        <v>14</v>
      </c>
      <c r="D33" s="17" t="s">
        <v>61</v>
      </c>
      <c r="E33" s="49" t="s">
        <v>23</v>
      </c>
      <c r="F33" s="49">
        <v>15</v>
      </c>
      <c r="G33" s="49">
        <v>2.24</v>
      </c>
      <c r="H33" s="81">
        <f t="shared" si="2"/>
        <v>33.6</v>
      </c>
      <c r="I33" s="52">
        <f t="shared" si="3"/>
        <v>2.6432</v>
      </c>
      <c r="J33" s="51">
        <f>F33*I33</f>
        <v>39.648</v>
      </c>
      <c r="K33" s="91">
        <f t="shared" si="0"/>
        <v>0.000341123850284402</v>
      </c>
    </row>
    <row r="34" spans="1:11" ht="14.25">
      <c r="A34" s="39" t="s">
        <v>62</v>
      </c>
      <c r="B34" s="4"/>
      <c r="C34" s="4"/>
      <c r="D34" s="3" t="s">
        <v>63</v>
      </c>
      <c r="E34" s="5"/>
      <c r="F34" s="4"/>
      <c r="G34" s="15">
        <v>1</v>
      </c>
      <c r="H34" s="6">
        <f>SUM(H35)</f>
        <v>305.56</v>
      </c>
      <c r="I34" s="5"/>
      <c r="J34" s="6">
        <f>SUM(J35)</f>
        <v>360.5608</v>
      </c>
      <c r="K34" s="95">
        <f t="shared" si="0"/>
        <v>0.003102196538479222</v>
      </c>
    </row>
    <row r="35" spans="1:13" ht="32.25" customHeight="1">
      <c r="A35" s="48" t="s">
        <v>64</v>
      </c>
      <c r="B35" s="49" t="s">
        <v>65</v>
      </c>
      <c r="C35" s="49" t="s">
        <v>14</v>
      </c>
      <c r="D35" s="17" t="s">
        <v>66</v>
      </c>
      <c r="E35" s="49" t="s">
        <v>23</v>
      </c>
      <c r="F35" s="49">
        <v>2</v>
      </c>
      <c r="G35" s="49">
        <v>152.78</v>
      </c>
      <c r="H35" s="81">
        <f t="shared" si="2"/>
        <v>305.56</v>
      </c>
      <c r="I35" s="52">
        <f t="shared" si="3"/>
        <v>180.2804</v>
      </c>
      <c r="J35" s="51">
        <f>F35*I35</f>
        <v>360.5608</v>
      </c>
      <c r="K35" s="91">
        <f t="shared" si="0"/>
        <v>0.003102196538479222</v>
      </c>
      <c r="M35">
        <v>47.7</v>
      </c>
    </row>
    <row r="36" spans="1:13" ht="14.25">
      <c r="A36" s="39" t="s">
        <v>67</v>
      </c>
      <c r="B36" s="4"/>
      <c r="C36" s="4"/>
      <c r="D36" s="3" t="s">
        <v>68</v>
      </c>
      <c r="E36" s="5"/>
      <c r="F36" s="4"/>
      <c r="G36" s="15">
        <v>1</v>
      </c>
      <c r="H36" s="6">
        <f>SUM(H37:H43)</f>
        <v>10620.157</v>
      </c>
      <c r="I36" s="5"/>
      <c r="J36" s="6">
        <f>SUM(J37:J43)</f>
        <v>12531.78526</v>
      </c>
      <c r="K36" s="95">
        <f t="shared" si="0"/>
        <v>0.1078210966209775</v>
      </c>
      <c r="M36">
        <v>44</v>
      </c>
    </row>
    <row r="37" spans="1:13" ht="51.75" customHeight="1">
      <c r="A37" s="48" t="s">
        <v>69</v>
      </c>
      <c r="B37" s="49">
        <v>96624</v>
      </c>
      <c r="C37" s="49" t="s">
        <v>14</v>
      </c>
      <c r="D37" s="17" t="s">
        <v>70</v>
      </c>
      <c r="E37" s="49" t="s">
        <v>71</v>
      </c>
      <c r="F37" s="49">
        <v>5.65</v>
      </c>
      <c r="G37" s="49">
        <v>105.91</v>
      </c>
      <c r="H37" s="81">
        <f t="shared" si="2"/>
        <v>598.3915000000001</v>
      </c>
      <c r="I37" s="52">
        <f t="shared" si="3"/>
        <v>124.9738</v>
      </c>
      <c r="J37" s="51">
        <f aca="true" t="shared" si="5" ref="J37:J43">F37*I37</f>
        <v>706.10197</v>
      </c>
      <c r="K37" s="91">
        <f t="shared" si="0"/>
        <v>0.006075167037424368</v>
      </c>
      <c r="M37">
        <f>M35/M36</f>
        <v>1.0840909090909092</v>
      </c>
    </row>
    <row r="38" spans="1:13" ht="53.25" customHeight="1">
      <c r="A38" s="48" t="s">
        <v>72</v>
      </c>
      <c r="B38" s="49">
        <v>97083</v>
      </c>
      <c r="C38" s="49" t="s">
        <v>14</v>
      </c>
      <c r="D38" s="17" t="s">
        <v>478</v>
      </c>
      <c r="E38" s="49" t="s">
        <v>16</v>
      </c>
      <c r="F38" s="49">
        <v>56.5</v>
      </c>
      <c r="G38" s="49">
        <v>2.85</v>
      </c>
      <c r="H38" s="81">
        <f t="shared" si="2"/>
        <v>161.025</v>
      </c>
      <c r="I38" s="52">
        <f t="shared" si="3"/>
        <v>3.363</v>
      </c>
      <c r="J38" s="51">
        <f t="shared" si="5"/>
        <v>190.0095</v>
      </c>
      <c r="K38" s="91">
        <f t="shared" si="0"/>
        <v>0.001634805595001364</v>
      </c>
      <c r="M38">
        <f>F37*M37</f>
        <v>6.125113636363637</v>
      </c>
    </row>
    <row r="39" spans="1:11" ht="42.75" customHeight="1">
      <c r="A39" s="48" t="s">
        <v>73</v>
      </c>
      <c r="B39" s="49">
        <v>97087</v>
      </c>
      <c r="C39" s="49" t="s">
        <v>14</v>
      </c>
      <c r="D39" s="17" t="s">
        <v>74</v>
      </c>
      <c r="E39" s="49" t="s">
        <v>16</v>
      </c>
      <c r="F39" s="49">
        <v>47.7</v>
      </c>
      <c r="G39" s="49">
        <v>2.91</v>
      </c>
      <c r="H39" s="81">
        <f t="shared" si="2"/>
        <v>138.80700000000002</v>
      </c>
      <c r="I39" s="52">
        <f t="shared" si="3"/>
        <v>3.4338</v>
      </c>
      <c r="J39" s="51">
        <f t="shared" si="5"/>
        <v>163.79226000000003</v>
      </c>
      <c r="K39" s="91">
        <f t="shared" si="0"/>
        <v>0.0014092374490008034</v>
      </c>
    </row>
    <row r="40" spans="1:13" ht="54.75" customHeight="1">
      <c r="A40" s="48" t="s">
        <v>75</v>
      </c>
      <c r="B40" s="49">
        <v>97086</v>
      </c>
      <c r="C40" s="49" t="s">
        <v>14</v>
      </c>
      <c r="D40" s="17" t="s">
        <v>76</v>
      </c>
      <c r="E40" s="49" t="s">
        <v>16</v>
      </c>
      <c r="F40" s="49">
        <v>3.41</v>
      </c>
      <c r="G40" s="49">
        <v>99.35</v>
      </c>
      <c r="H40" s="81">
        <f t="shared" si="2"/>
        <v>338.7835</v>
      </c>
      <c r="I40" s="52">
        <f t="shared" si="3"/>
        <v>117.23299999999999</v>
      </c>
      <c r="J40" s="51">
        <f t="shared" si="5"/>
        <v>399.76453</v>
      </c>
      <c r="K40" s="91">
        <f aca="true" t="shared" si="6" ref="K40:K71">J40/$J$234</f>
        <v>0.003439497974191241</v>
      </c>
      <c r="M40">
        <f>F40*M37</f>
        <v>3.6967500000000006</v>
      </c>
    </row>
    <row r="41" spans="1:13" ht="42.75" customHeight="1">
      <c r="A41" s="48" t="s">
        <v>77</v>
      </c>
      <c r="B41" s="49">
        <v>97092</v>
      </c>
      <c r="C41" s="49" t="s">
        <v>14</v>
      </c>
      <c r="D41" s="17" t="s">
        <v>78</v>
      </c>
      <c r="E41" s="49" t="s">
        <v>79</v>
      </c>
      <c r="F41" s="49">
        <v>261.8</v>
      </c>
      <c r="G41" s="49">
        <v>12.31</v>
      </c>
      <c r="H41" s="81">
        <f t="shared" si="2"/>
        <v>3222.7580000000003</v>
      </c>
      <c r="I41" s="52">
        <f t="shared" si="3"/>
        <v>14.5258</v>
      </c>
      <c r="J41" s="51">
        <f t="shared" si="5"/>
        <v>3802.85444</v>
      </c>
      <c r="K41" s="91">
        <f t="shared" si="6"/>
        <v>0.03271903623496603</v>
      </c>
      <c r="M41">
        <f>F41*M37</f>
        <v>283.81500000000005</v>
      </c>
    </row>
    <row r="42" spans="1:13" ht="42" customHeight="1">
      <c r="A42" s="48" t="s">
        <v>80</v>
      </c>
      <c r="B42" s="49">
        <v>97093</v>
      </c>
      <c r="C42" s="49" t="s">
        <v>14</v>
      </c>
      <c r="D42" s="17" t="s">
        <v>81</v>
      </c>
      <c r="E42" s="49" t="s">
        <v>79</v>
      </c>
      <c r="F42" s="49">
        <v>74.8</v>
      </c>
      <c r="G42" s="49">
        <v>11.54</v>
      </c>
      <c r="H42" s="81">
        <f t="shared" si="2"/>
        <v>863.1919999999999</v>
      </c>
      <c r="I42" s="52">
        <f t="shared" si="3"/>
        <v>13.617199999999999</v>
      </c>
      <c r="J42" s="51">
        <f t="shared" si="5"/>
        <v>1018.5665599999999</v>
      </c>
      <c r="K42" s="91">
        <f t="shared" si="6"/>
        <v>0.00876355293377064</v>
      </c>
      <c r="M42">
        <f>F42*M37</f>
        <v>81.09</v>
      </c>
    </row>
    <row r="43" spans="1:13" ht="42.75" customHeight="1">
      <c r="A43" s="48" t="s">
        <v>82</v>
      </c>
      <c r="B43" s="49">
        <v>97096</v>
      </c>
      <c r="C43" s="49" t="s">
        <v>14</v>
      </c>
      <c r="D43" s="17" t="s">
        <v>83</v>
      </c>
      <c r="E43" s="49" t="s">
        <v>71</v>
      </c>
      <c r="F43" s="49">
        <v>9.5</v>
      </c>
      <c r="G43" s="49">
        <v>557.6</v>
      </c>
      <c r="H43" s="81">
        <f t="shared" si="2"/>
        <v>5297.2</v>
      </c>
      <c r="I43" s="52">
        <f t="shared" si="3"/>
        <v>657.9680000000001</v>
      </c>
      <c r="J43" s="51">
        <f t="shared" si="5"/>
        <v>6250.696000000001</v>
      </c>
      <c r="K43" s="91">
        <f t="shared" si="6"/>
        <v>0.05377979939662305</v>
      </c>
      <c r="M43">
        <f>F43*1.084</f>
        <v>10.298</v>
      </c>
    </row>
    <row r="44" spans="1:11" ht="14.25">
      <c r="A44" s="39" t="s">
        <v>84</v>
      </c>
      <c r="B44" s="4"/>
      <c r="C44" s="4"/>
      <c r="D44" s="3" t="s">
        <v>85</v>
      </c>
      <c r="E44" s="5"/>
      <c r="F44" s="4"/>
      <c r="G44" s="15">
        <v>1</v>
      </c>
      <c r="H44" s="6">
        <f>H45+H54+H56</f>
        <v>17951.03894</v>
      </c>
      <c r="I44" s="5"/>
      <c r="J44" s="6">
        <f>J45+J54+J56</f>
        <v>21182.2259492</v>
      </c>
      <c r="K44" s="95">
        <f t="shared" si="6"/>
        <v>0.1822478428517271</v>
      </c>
    </row>
    <row r="45" spans="1:11" ht="14.25">
      <c r="A45" s="39" t="s">
        <v>86</v>
      </c>
      <c r="B45" s="4"/>
      <c r="C45" s="4"/>
      <c r="D45" s="3" t="s">
        <v>87</v>
      </c>
      <c r="E45" s="5"/>
      <c r="F45" s="4"/>
      <c r="G45" s="15">
        <v>1</v>
      </c>
      <c r="H45" s="6">
        <f>SUM(H46:H53)</f>
        <v>12335.081040000001</v>
      </c>
      <c r="I45" s="5"/>
      <c r="J45" s="6">
        <f>SUM(J46:J53)</f>
        <v>14555.3956272</v>
      </c>
      <c r="K45" s="95">
        <f t="shared" si="6"/>
        <v>0.12523185529568231</v>
      </c>
    </row>
    <row r="46" spans="1:13" ht="63" customHeight="1">
      <c r="A46" s="48" t="s">
        <v>88</v>
      </c>
      <c r="B46" s="49">
        <v>91594</v>
      </c>
      <c r="C46" s="49" t="s">
        <v>14</v>
      </c>
      <c r="D46" s="17" t="s">
        <v>89</v>
      </c>
      <c r="E46" s="49" t="s">
        <v>79</v>
      </c>
      <c r="F46" s="49">
        <v>92.43</v>
      </c>
      <c r="G46" s="49">
        <v>9.56</v>
      </c>
      <c r="H46" s="81">
        <f aca="true" t="shared" si="7" ref="H46:H55">F46*G46</f>
        <v>883.6308000000001</v>
      </c>
      <c r="I46" s="52">
        <f aca="true" t="shared" si="8" ref="I46:I60">SUM(G46*18/100)+G46</f>
        <v>11.280800000000001</v>
      </c>
      <c r="J46" s="51">
        <f aca="true" t="shared" si="9" ref="J46:J60">F46*I46</f>
        <v>1042.6843440000002</v>
      </c>
      <c r="K46" s="91">
        <f t="shared" si="6"/>
        <v>0.008971057759699001</v>
      </c>
      <c r="M46">
        <f>F46*1.084</f>
        <v>100.19412000000001</v>
      </c>
    </row>
    <row r="47" spans="1:13" ht="39.75" customHeight="1">
      <c r="A47" s="40" t="s">
        <v>90</v>
      </c>
      <c r="B47" s="18">
        <v>91600</v>
      </c>
      <c r="C47" s="18" t="s">
        <v>14</v>
      </c>
      <c r="D47" s="17" t="s">
        <v>400</v>
      </c>
      <c r="E47" s="18" t="s">
        <v>79</v>
      </c>
      <c r="F47" s="18">
        <v>10.63</v>
      </c>
      <c r="G47" s="18">
        <v>11.63</v>
      </c>
      <c r="H47" s="81">
        <f t="shared" si="7"/>
        <v>123.62690000000002</v>
      </c>
      <c r="I47" s="52">
        <f t="shared" si="8"/>
        <v>13.723400000000002</v>
      </c>
      <c r="J47" s="51">
        <f t="shared" si="9"/>
        <v>145.87974200000002</v>
      </c>
      <c r="K47" s="91">
        <f t="shared" si="6"/>
        <v>0.0012551215513906173</v>
      </c>
      <c r="M47">
        <f aca="true" t="shared" si="10" ref="M47:M53">F47*1.084</f>
        <v>11.522920000000001</v>
      </c>
    </row>
    <row r="48" spans="1:13" ht="56.25" customHeight="1">
      <c r="A48" s="48" t="s">
        <v>91</v>
      </c>
      <c r="B48" s="49">
        <v>91601</v>
      </c>
      <c r="C48" s="49" t="s">
        <v>14</v>
      </c>
      <c r="D48" s="17" t="s">
        <v>92</v>
      </c>
      <c r="E48" s="49" t="s">
        <v>79</v>
      </c>
      <c r="F48" s="49">
        <v>25.04</v>
      </c>
      <c r="G48" s="49">
        <v>11.58</v>
      </c>
      <c r="H48" s="81">
        <f t="shared" si="7"/>
        <v>289.9632</v>
      </c>
      <c r="I48" s="52">
        <f t="shared" si="8"/>
        <v>13.6644</v>
      </c>
      <c r="J48" s="51">
        <f t="shared" si="9"/>
        <v>342.15657600000003</v>
      </c>
      <c r="K48" s="91">
        <f t="shared" si="6"/>
        <v>0.0029438500959757773</v>
      </c>
      <c r="M48">
        <f t="shared" si="10"/>
        <v>27.14336</v>
      </c>
    </row>
    <row r="49" spans="1:13" ht="39">
      <c r="A49" s="48" t="s">
        <v>93</v>
      </c>
      <c r="B49" s="49">
        <v>91602</v>
      </c>
      <c r="C49" s="49" t="s">
        <v>14</v>
      </c>
      <c r="D49" s="17" t="s">
        <v>94</v>
      </c>
      <c r="E49" s="49" t="s">
        <v>79</v>
      </c>
      <c r="F49" s="81">
        <v>191.21</v>
      </c>
      <c r="G49" s="81">
        <v>10.75</v>
      </c>
      <c r="H49" s="81">
        <f t="shared" si="7"/>
        <v>2055.5075</v>
      </c>
      <c r="I49" s="51">
        <f t="shared" si="8"/>
        <v>12.685</v>
      </c>
      <c r="J49" s="51">
        <f t="shared" si="9"/>
        <v>2425.4988500000004</v>
      </c>
      <c r="K49" s="91">
        <f t="shared" si="6"/>
        <v>0.02086853073477576</v>
      </c>
      <c r="M49">
        <f t="shared" si="10"/>
        <v>207.27164000000002</v>
      </c>
    </row>
    <row r="50" spans="1:13" ht="39">
      <c r="A50" s="48" t="s">
        <v>95</v>
      </c>
      <c r="B50" s="49">
        <v>91603</v>
      </c>
      <c r="C50" s="49" t="s">
        <v>14</v>
      </c>
      <c r="D50" s="17" t="s">
        <v>96</v>
      </c>
      <c r="E50" s="49" t="s">
        <v>79</v>
      </c>
      <c r="F50" s="81">
        <v>13.66</v>
      </c>
      <c r="G50" s="81">
        <v>10.16</v>
      </c>
      <c r="H50" s="81">
        <f t="shared" si="7"/>
        <v>138.78560000000002</v>
      </c>
      <c r="I50" s="51">
        <f t="shared" si="8"/>
        <v>11.9888</v>
      </c>
      <c r="J50" s="51">
        <f t="shared" si="9"/>
        <v>163.767008</v>
      </c>
      <c r="K50" s="91">
        <f t="shared" si="6"/>
        <v>0.0014090201855961578</v>
      </c>
      <c r="M50">
        <f t="shared" si="10"/>
        <v>14.807440000000001</v>
      </c>
    </row>
    <row r="51" spans="1:13" ht="39">
      <c r="A51" s="48" t="s">
        <v>97</v>
      </c>
      <c r="B51" s="49">
        <v>100066</v>
      </c>
      <c r="C51" s="49" t="s">
        <v>14</v>
      </c>
      <c r="D51" s="17" t="s">
        <v>98</v>
      </c>
      <c r="E51" s="49" t="s">
        <v>79</v>
      </c>
      <c r="F51" s="81">
        <v>152.52</v>
      </c>
      <c r="G51" s="81">
        <v>9.36</v>
      </c>
      <c r="H51" s="81">
        <f t="shared" si="7"/>
        <v>1427.5872</v>
      </c>
      <c r="I51" s="51">
        <f t="shared" si="8"/>
        <v>11.044799999999999</v>
      </c>
      <c r="J51" s="51">
        <f t="shared" si="9"/>
        <v>1684.552896</v>
      </c>
      <c r="K51" s="91">
        <f t="shared" si="6"/>
        <v>0.014493572686926446</v>
      </c>
      <c r="M51">
        <f t="shared" si="10"/>
        <v>165.33168000000003</v>
      </c>
    </row>
    <row r="52" spans="1:13" ht="78.75">
      <c r="A52" s="48" t="s">
        <v>99</v>
      </c>
      <c r="B52" s="49">
        <v>20002</v>
      </c>
      <c r="C52" s="49" t="s">
        <v>100</v>
      </c>
      <c r="D52" s="17" t="s">
        <v>101</v>
      </c>
      <c r="E52" s="49" t="s">
        <v>71</v>
      </c>
      <c r="F52" s="81">
        <v>11.219</v>
      </c>
      <c r="G52" s="81">
        <v>559.36</v>
      </c>
      <c r="H52" s="81">
        <f t="shared" si="7"/>
        <v>6275.4598399999995</v>
      </c>
      <c r="I52" s="51">
        <f t="shared" si="8"/>
        <v>660.0448</v>
      </c>
      <c r="J52" s="51">
        <f t="shared" si="9"/>
        <v>7405.0426112</v>
      </c>
      <c r="K52" s="91">
        <f t="shared" si="6"/>
        <v>0.06371157806327193</v>
      </c>
      <c r="M52">
        <f t="shared" si="10"/>
        <v>12.161396</v>
      </c>
    </row>
    <row r="53" spans="1:13" ht="39" customHeight="1">
      <c r="A53" s="48" t="s">
        <v>102</v>
      </c>
      <c r="B53" s="49">
        <v>20004</v>
      </c>
      <c r="C53" s="49" t="s">
        <v>100</v>
      </c>
      <c r="D53" s="17" t="s">
        <v>401</v>
      </c>
      <c r="E53" s="49" t="s">
        <v>71</v>
      </c>
      <c r="F53" s="81">
        <v>2</v>
      </c>
      <c r="G53" s="81">
        <v>570.26</v>
      </c>
      <c r="H53" s="81">
        <f t="shared" si="7"/>
        <v>1140.52</v>
      </c>
      <c r="I53" s="51">
        <f t="shared" si="8"/>
        <v>672.9068</v>
      </c>
      <c r="J53" s="51">
        <f t="shared" si="9"/>
        <v>1345.8136</v>
      </c>
      <c r="K53" s="91">
        <f t="shared" si="6"/>
        <v>0.011579124218046612</v>
      </c>
      <c r="M53">
        <f t="shared" si="10"/>
        <v>2.168</v>
      </c>
    </row>
    <row r="54" spans="1:11" ht="14.25">
      <c r="A54" s="39" t="s">
        <v>103</v>
      </c>
      <c r="B54" s="4"/>
      <c r="C54" s="4"/>
      <c r="D54" s="3" t="s">
        <v>104</v>
      </c>
      <c r="E54" s="5"/>
      <c r="F54" s="177"/>
      <c r="G54" s="178">
        <v>1</v>
      </c>
      <c r="H54" s="6">
        <f>H55</f>
        <v>376.2423</v>
      </c>
      <c r="I54" s="179"/>
      <c r="J54" s="6">
        <f>J55</f>
        <v>443.965914</v>
      </c>
      <c r="K54" s="95">
        <f t="shared" si="6"/>
        <v>0.0038197982742815195</v>
      </c>
    </row>
    <row r="55" spans="1:11" ht="26.25">
      <c r="A55" s="48" t="s">
        <v>105</v>
      </c>
      <c r="B55" s="49">
        <v>17</v>
      </c>
      <c r="C55" s="49" t="s">
        <v>100</v>
      </c>
      <c r="D55" s="17" t="s">
        <v>489</v>
      </c>
      <c r="E55" s="49" t="s">
        <v>106</v>
      </c>
      <c r="F55" s="81">
        <v>737.73</v>
      </c>
      <c r="G55" s="81">
        <v>0.51</v>
      </c>
      <c r="H55" s="81">
        <f t="shared" si="7"/>
        <v>376.2423</v>
      </c>
      <c r="I55" s="51">
        <f t="shared" si="8"/>
        <v>0.6018</v>
      </c>
      <c r="J55" s="51">
        <f t="shared" si="9"/>
        <v>443.965914</v>
      </c>
      <c r="K55" s="91">
        <f t="shared" si="6"/>
        <v>0.0038197982742815195</v>
      </c>
    </row>
    <row r="56" spans="1:11" ht="14.25">
      <c r="A56" s="39" t="s">
        <v>107</v>
      </c>
      <c r="B56" s="4"/>
      <c r="C56" s="4"/>
      <c r="D56" s="3" t="s">
        <v>108</v>
      </c>
      <c r="E56" s="5"/>
      <c r="F56" s="177"/>
      <c r="G56" s="178">
        <v>1</v>
      </c>
      <c r="H56" s="6">
        <f>H57+H58+H59+H60</f>
        <v>5239.7155999999995</v>
      </c>
      <c r="I56" s="179"/>
      <c r="J56" s="6">
        <f>J57+J58+J59+J60</f>
        <v>6182.864408</v>
      </c>
      <c r="K56" s="95">
        <f t="shared" si="6"/>
        <v>0.05319618928176326</v>
      </c>
    </row>
    <row r="57" spans="1:13" ht="26.25">
      <c r="A57" s="48" t="s">
        <v>109</v>
      </c>
      <c r="B57" s="49">
        <v>89993</v>
      </c>
      <c r="C57" s="49" t="s">
        <v>14</v>
      </c>
      <c r="D57" s="17" t="s">
        <v>110</v>
      </c>
      <c r="E57" s="49" t="s">
        <v>71</v>
      </c>
      <c r="F57" s="81">
        <v>0.69</v>
      </c>
      <c r="G57" s="81">
        <v>917.24</v>
      </c>
      <c r="H57" s="81">
        <f>F57*G57</f>
        <v>632.8956</v>
      </c>
      <c r="I57" s="51">
        <f t="shared" si="8"/>
        <v>1082.3432</v>
      </c>
      <c r="J57" s="51">
        <f t="shared" si="9"/>
        <v>746.8168079999999</v>
      </c>
      <c r="K57" s="91">
        <f t="shared" si="6"/>
        <v>0.00642546975893026</v>
      </c>
      <c r="M57">
        <f>F57*1.084</f>
        <v>0.74796</v>
      </c>
    </row>
    <row r="58" spans="1:13" ht="52.5">
      <c r="A58" s="48" t="s">
        <v>111</v>
      </c>
      <c r="B58" s="49">
        <v>90001</v>
      </c>
      <c r="C58" s="49" t="s">
        <v>100</v>
      </c>
      <c r="D58" s="17" t="s">
        <v>112</v>
      </c>
      <c r="E58" s="49" t="s">
        <v>23</v>
      </c>
      <c r="F58" s="81">
        <v>14</v>
      </c>
      <c r="G58" s="81">
        <v>150.71</v>
      </c>
      <c r="H58" s="81">
        <f>F58*G58</f>
        <v>2109.94</v>
      </c>
      <c r="I58" s="51">
        <f t="shared" si="8"/>
        <v>177.83780000000002</v>
      </c>
      <c r="J58" s="51">
        <f t="shared" si="9"/>
        <v>2489.7292</v>
      </c>
      <c r="K58" s="91">
        <f t="shared" si="6"/>
        <v>0.02142115644848426</v>
      </c>
      <c r="M58">
        <f>F58*1.084</f>
        <v>15.176000000000002</v>
      </c>
    </row>
    <row r="59" spans="1:13" ht="52.5">
      <c r="A59" s="48" t="s">
        <v>113</v>
      </c>
      <c r="B59" s="49">
        <v>90002</v>
      </c>
      <c r="C59" s="49" t="s">
        <v>100</v>
      </c>
      <c r="D59" s="17" t="s">
        <v>402</v>
      </c>
      <c r="E59" s="49" t="s">
        <v>23</v>
      </c>
      <c r="F59" s="81">
        <v>6</v>
      </c>
      <c r="G59" s="81">
        <v>355.44</v>
      </c>
      <c r="H59" s="81">
        <f>F59*G59</f>
        <v>2132.64</v>
      </c>
      <c r="I59" s="51">
        <f t="shared" si="8"/>
        <v>419.4192</v>
      </c>
      <c r="J59" s="51">
        <f t="shared" si="9"/>
        <v>2516.5152</v>
      </c>
      <c r="K59" s="91">
        <f t="shared" si="6"/>
        <v>0.02165161809733711</v>
      </c>
      <c r="M59">
        <f>F59*1.084</f>
        <v>6.5040000000000004</v>
      </c>
    </row>
    <row r="60" spans="1:13" ht="52.5">
      <c r="A60" s="48" t="s">
        <v>114</v>
      </c>
      <c r="B60" s="49">
        <v>90003</v>
      </c>
      <c r="C60" s="49" t="s">
        <v>100</v>
      </c>
      <c r="D60" s="17" t="s">
        <v>403</v>
      </c>
      <c r="E60" s="49" t="s">
        <v>23</v>
      </c>
      <c r="F60" s="81">
        <v>2</v>
      </c>
      <c r="G60" s="81">
        <v>182.12</v>
      </c>
      <c r="H60" s="81">
        <f>F60*G60</f>
        <v>364.24</v>
      </c>
      <c r="I60" s="51">
        <f t="shared" si="8"/>
        <v>214.9016</v>
      </c>
      <c r="J60" s="51">
        <f t="shared" si="9"/>
        <v>429.8032</v>
      </c>
      <c r="K60" s="91">
        <f t="shared" si="6"/>
        <v>0.0036979449770116243</v>
      </c>
      <c r="M60">
        <f>F60*1.084</f>
        <v>2.168</v>
      </c>
    </row>
    <row r="61" spans="1:11" ht="14.25">
      <c r="A61" s="39" t="s">
        <v>115</v>
      </c>
      <c r="B61" s="4"/>
      <c r="C61" s="4"/>
      <c r="D61" s="3" t="s">
        <v>116</v>
      </c>
      <c r="E61" s="5"/>
      <c r="F61" s="177"/>
      <c r="G61" s="178">
        <v>1</v>
      </c>
      <c r="H61" s="6">
        <f>H62+H69+H73</f>
        <v>7224.8341</v>
      </c>
      <c r="I61" s="179"/>
      <c r="J61" s="6">
        <f>J62+J69+J73</f>
        <v>8525.304237999999</v>
      </c>
      <c r="K61" s="95">
        <f t="shared" si="6"/>
        <v>0.07335009600767982</v>
      </c>
    </row>
    <row r="62" spans="1:11" ht="14.25">
      <c r="A62" s="39" t="s">
        <v>117</v>
      </c>
      <c r="B62" s="4"/>
      <c r="C62" s="4"/>
      <c r="D62" s="3" t="s">
        <v>118</v>
      </c>
      <c r="E62" s="5"/>
      <c r="F62" s="177"/>
      <c r="G62" s="178">
        <v>1</v>
      </c>
      <c r="H62" s="6">
        <f>H63+H64+H65+H66+H67+H68</f>
        <v>5269.2355</v>
      </c>
      <c r="I62" s="179"/>
      <c r="J62" s="6">
        <f>J63+J64+J65+J66+J67+J68</f>
        <v>6217.6978899999995</v>
      </c>
      <c r="K62" s="95">
        <f t="shared" si="6"/>
        <v>0.05349588993497786</v>
      </c>
    </row>
    <row r="63" spans="1:15" ht="72.75" customHeight="1">
      <c r="A63" s="48" t="s">
        <v>119</v>
      </c>
      <c r="B63" s="49">
        <v>94207</v>
      </c>
      <c r="C63" s="49" t="s">
        <v>14</v>
      </c>
      <c r="D63" s="17" t="s">
        <v>120</v>
      </c>
      <c r="E63" s="49" t="s">
        <v>16</v>
      </c>
      <c r="F63" s="81">
        <v>55.9</v>
      </c>
      <c r="G63" s="81">
        <v>45.35</v>
      </c>
      <c r="H63" s="81">
        <f aca="true" t="shared" si="11" ref="H63:H74">F63*G63</f>
        <v>2535.065</v>
      </c>
      <c r="I63" s="51">
        <f aca="true" t="shared" si="12" ref="I63:I74">SUM(G63*18/100)+G63</f>
        <v>53.513000000000005</v>
      </c>
      <c r="J63" s="51">
        <f aca="true" t="shared" si="13" ref="J63:J72">F63*I63</f>
        <v>2991.3767000000003</v>
      </c>
      <c r="K63" s="91">
        <f t="shared" si="6"/>
        <v>0.025737236116703203</v>
      </c>
      <c r="M63">
        <f>F63*1.084</f>
        <v>60.595600000000005</v>
      </c>
      <c r="O63">
        <v>47.7</v>
      </c>
    </row>
    <row r="64" spans="1:15" ht="44.25" customHeight="1">
      <c r="A64" s="48" t="s">
        <v>121</v>
      </c>
      <c r="B64" s="49">
        <v>94223</v>
      </c>
      <c r="C64" s="49" t="s">
        <v>14</v>
      </c>
      <c r="D64" s="17" t="s">
        <v>122</v>
      </c>
      <c r="E64" s="49" t="s">
        <v>59</v>
      </c>
      <c r="F64" s="81">
        <v>6</v>
      </c>
      <c r="G64" s="81">
        <v>78.31</v>
      </c>
      <c r="H64" s="81">
        <f t="shared" si="11"/>
        <v>469.86</v>
      </c>
      <c r="I64" s="51">
        <f t="shared" si="12"/>
        <v>92.4058</v>
      </c>
      <c r="J64" s="51">
        <f t="shared" si="13"/>
        <v>554.4348</v>
      </c>
      <c r="K64" s="91">
        <f t="shared" si="6"/>
        <v>0.0047702515563877715</v>
      </c>
      <c r="O64">
        <f>O63/44</f>
        <v>1.0840909090909092</v>
      </c>
    </row>
    <row r="65" spans="1:11" ht="71.25" customHeight="1">
      <c r="A65" s="48" t="s">
        <v>123</v>
      </c>
      <c r="B65" s="49">
        <v>92543</v>
      </c>
      <c r="C65" s="49" t="s">
        <v>14</v>
      </c>
      <c r="D65" s="19" t="s">
        <v>124</v>
      </c>
      <c r="E65" s="49" t="s">
        <v>16</v>
      </c>
      <c r="F65" s="81">
        <v>55.9</v>
      </c>
      <c r="G65" s="81">
        <v>14.44</v>
      </c>
      <c r="H65" s="81">
        <f t="shared" si="11"/>
        <v>807.1959999999999</v>
      </c>
      <c r="I65" s="51">
        <f t="shared" si="12"/>
        <v>17.0392</v>
      </c>
      <c r="J65" s="51">
        <f t="shared" si="13"/>
        <v>952.4912800000001</v>
      </c>
      <c r="K65" s="91">
        <f t="shared" si="6"/>
        <v>0.008195053793278815</v>
      </c>
    </row>
    <row r="66" spans="1:11" ht="83.25" customHeight="1">
      <c r="A66" s="48" t="s">
        <v>125</v>
      </c>
      <c r="B66" s="49">
        <v>92566</v>
      </c>
      <c r="C66" s="49" t="s">
        <v>14</v>
      </c>
      <c r="D66" s="17" t="s">
        <v>126</v>
      </c>
      <c r="E66" s="49" t="s">
        <v>16</v>
      </c>
      <c r="F66" s="81">
        <v>55.9</v>
      </c>
      <c r="G66" s="81">
        <v>15.54</v>
      </c>
      <c r="H66" s="81">
        <f t="shared" si="11"/>
        <v>868.6859999999999</v>
      </c>
      <c r="I66" s="51">
        <f t="shared" si="12"/>
        <v>18.3372</v>
      </c>
      <c r="J66" s="51">
        <f t="shared" si="13"/>
        <v>1025.04948</v>
      </c>
      <c r="K66" s="91">
        <f t="shared" si="6"/>
        <v>0.008819330744290357</v>
      </c>
    </row>
    <row r="67" spans="1:11" ht="39">
      <c r="A67" s="48" t="s">
        <v>127</v>
      </c>
      <c r="B67" s="49">
        <v>94231</v>
      </c>
      <c r="C67" s="49" t="s">
        <v>14</v>
      </c>
      <c r="D67" s="17" t="s">
        <v>404</v>
      </c>
      <c r="E67" s="49" t="s">
        <v>59</v>
      </c>
      <c r="F67" s="81">
        <v>8.65</v>
      </c>
      <c r="G67" s="81">
        <v>52.69</v>
      </c>
      <c r="H67" s="81">
        <f t="shared" si="11"/>
        <v>455.7685</v>
      </c>
      <c r="I67" s="51">
        <f t="shared" si="12"/>
        <v>62.1742</v>
      </c>
      <c r="J67" s="51">
        <f t="shared" si="13"/>
        <v>537.80683</v>
      </c>
      <c r="K67" s="91">
        <f t="shared" si="6"/>
        <v>0.004627187665426978</v>
      </c>
    </row>
    <row r="68" spans="1:11" ht="26.25">
      <c r="A68" s="48" t="s">
        <v>128</v>
      </c>
      <c r="B68" s="49">
        <v>13059</v>
      </c>
      <c r="C68" s="49" t="s">
        <v>129</v>
      </c>
      <c r="D68" s="17" t="s">
        <v>130</v>
      </c>
      <c r="E68" s="49" t="s">
        <v>131</v>
      </c>
      <c r="F68" s="81">
        <v>11</v>
      </c>
      <c r="G68" s="81">
        <v>12.06</v>
      </c>
      <c r="H68" s="81">
        <f t="shared" si="11"/>
        <v>132.66</v>
      </c>
      <c r="I68" s="51">
        <f t="shared" si="12"/>
        <v>14.2308</v>
      </c>
      <c r="J68" s="51">
        <f t="shared" si="13"/>
        <v>156.5388</v>
      </c>
      <c r="K68" s="91">
        <f t="shared" si="6"/>
        <v>0.0013468300588907372</v>
      </c>
    </row>
    <row r="69" spans="1:11" ht="14.25">
      <c r="A69" s="39" t="s">
        <v>132</v>
      </c>
      <c r="B69" s="4"/>
      <c r="C69" s="4"/>
      <c r="D69" s="3" t="s">
        <v>133</v>
      </c>
      <c r="E69" s="5"/>
      <c r="F69" s="177"/>
      <c r="G69" s="178">
        <v>1</v>
      </c>
      <c r="H69" s="6">
        <f>H70+H71+H72</f>
        <v>268.3526</v>
      </c>
      <c r="I69" s="179"/>
      <c r="J69" s="6">
        <f>J70+J71+J72</f>
        <v>316.656068</v>
      </c>
      <c r="K69" s="95">
        <f t="shared" si="6"/>
        <v>0.0027244485757687504</v>
      </c>
    </row>
    <row r="70" spans="1:13" ht="52.5">
      <c r="A70" s="48" t="s">
        <v>134</v>
      </c>
      <c r="B70" s="49">
        <v>98556</v>
      </c>
      <c r="C70" s="49" t="s">
        <v>14</v>
      </c>
      <c r="D70" s="17" t="s">
        <v>405</v>
      </c>
      <c r="E70" s="49" t="s">
        <v>16</v>
      </c>
      <c r="F70" s="81">
        <v>2.17</v>
      </c>
      <c r="G70" s="81">
        <v>50.78</v>
      </c>
      <c r="H70" s="81">
        <f t="shared" si="11"/>
        <v>110.1926</v>
      </c>
      <c r="I70" s="51">
        <f t="shared" si="12"/>
        <v>59.9204</v>
      </c>
      <c r="J70" s="51">
        <f t="shared" si="13"/>
        <v>130.027268</v>
      </c>
      <c r="K70" s="91">
        <f t="shared" si="6"/>
        <v>0.0011187298805014582</v>
      </c>
      <c r="M70">
        <f>F70*1.084</f>
        <v>2.35228</v>
      </c>
    </row>
    <row r="71" spans="1:13" ht="57.75" customHeight="1">
      <c r="A71" s="48" t="s">
        <v>135</v>
      </c>
      <c r="B71" s="49">
        <v>98558</v>
      </c>
      <c r="C71" s="49" t="s">
        <v>14</v>
      </c>
      <c r="D71" s="17" t="s">
        <v>406</v>
      </c>
      <c r="E71" s="49" t="s">
        <v>23</v>
      </c>
      <c r="F71" s="81">
        <v>7</v>
      </c>
      <c r="G71" s="81">
        <v>7.88</v>
      </c>
      <c r="H71" s="81">
        <f t="shared" si="11"/>
        <v>55.16</v>
      </c>
      <c r="I71" s="51">
        <f t="shared" si="12"/>
        <v>9.2984</v>
      </c>
      <c r="J71" s="51">
        <f t="shared" si="13"/>
        <v>65.0888</v>
      </c>
      <c r="K71" s="91">
        <f t="shared" si="6"/>
        <v>0.0005600116542168933</v>
      </c>
      <c r="M71">
        <f>F71*1.084</f>
        <v>7.588000000000001</v>
      </c>
    </row>
    <row r="72" spans="1:13" ht="38.25" customHeight="1">
      <c r="A72" s="48" t="s">
        <v>136</v>
      </c>
      <c r="B72" s="49">
        <v>98559</v>
      </c>
      <c r="C72" s="49" t="s">
        <v>14</v>
      </c>
      <c r="D72" s="17" t="s">
        <v>137</v>
      </c>
      <c r="E72" s="49" t="s">
        <v>59</v>
      </c>
      <c r="F72" s="81">
        <v>20.6</v>
      </c>
      <c r="G72" s="81">
        <v>5</v>
      </c>
      <c r="H72" s="81">
        <f t="shared" si="11"/>
        <v>103</v>
      </c>
      <c r="I72" s="51">
        <f t="shared" si="12"/>
        <v>5.9</v>
      </c>
      <c r="J72" s="51">
        <f t="shared" si="13"/>
        <v>121.54000000000002</v>
      </c>
      <c r="K72" s="91">
        <f aca="true" t="shared" si="14" ref="K72:K103">J72/$J$234</f>
        <v>0.001045707041050399</v>
      </c>
      <c r="M72">
        <f>F72*1.084</f>
        <v>22.330400000000004</v>
      </c>
    </row>
    <row r="73" spans="1:11" ht="17.25" customHeight="1">
      <c r="A73" s="39" t="s">
        <v>138</v>
      </c>
      <c r="B73" s="4"/>
      <c r="C73" s="4"/>
      <c r="D73" s="3" t="s">
        <v>139</v>
      </c>
      <c r="E73" s="5"/>
      <c r="F73" s="177"/>
      <c r="G73" s="178">
        <v>1</v>
      </c>
      <c r="H73" s="6">
        <f>H74</f>
        <v>1687.2459999999999</v>
      </c>
      <c r="I73" s="179"/>
      <c r="J73" s="6">
        <f>J74</f>
        <v>1990.9502799999998</v>
      </c>
      <c r="K73" s="95">
        <f t="shared" si="14"/>
        <v>0.017129757496933216</v>
      </c>
    </row>
    <row r="74" spans="1:17" ht="57" customHeight="1">
      <c r="A74" s="48" t="s">
        <v>140</v>
      </c>
      <c r="B74" s="49">
        <v>98575</v>
      </c>
      <c r="C74" s="49" t="s">
        <v>14</v>
      </c>
      <c r="D74" s="17" t="s">
        <v>141</v>
      </c>
      <c r="E74" s="49" t="s">
        <v>59</v>
      </c>
      <c r="F74" s="81">
        <v>28.3</v>
      </c>
      <c r="G74" s="81">
        <v>59.62</v>
      </c>
      <c r="H74" s="81">
        <f t="shared" si="11"/>
        <v>1687.2459999999999</v>
      </c>
      <c r="I74" s="51">
        <f t="shared" si="12"/>
        <v>70.35159999999999</v>
      </c>
      <c r="J74" s="241">
        <f>F74*I74</f>
        <v>1990.9502799999998</v>
      </c>
      <c r="K74" s="91">
        <f t="shared" si="14"/>
        <v>0.017129757496933216</v>
      </c>
      <c r="M74">
        <v>8.65</v>
      </c>
      <c r="N74">
        <v>5.5</v>
      </c>
      <c r="O74">
        <f>M74*2</f>
        <v>17.3</v>
      </c>
      <c r="P74">
        <f>N74*2</f>
        <v>11</v>
      </c>
      <c r="Q74">
        <f>O74+P74</f>
        <v>28.3</v>
      </c>
    </row>
    <row r="75" spans="1:11" ht="16.5" customHeight="1">
      <c r="A75" s="39" t="s">
        <v>142</v>
      </c>
      <c r="B75" s="4"/>
      <c r="C75" s="4"/>
      <c r="D75" s="3" t="s">
        <v>143</v>
      </c>
      <c r="E75" s="5"/>
      <c r="F75" s="177"/>
      <c r="G75" s="178">
        <v>1</v>
      </c>
      <c r="H75" s="6">
        <f>H76+H78+H82+H84+H86+H88+H91+H94</f>
        <v>10861.292000000001</v>
      </c>
      <c r="I75" s="179"/>
      <c r="J75" s="6">
        <f>J76+J78+J82+J84+J86+J88+J91+J94</f>
        <v>12834.467472</v>
      </c>
      <c r="K75" s="95">
        <f t="shared" si="14"/>
        <v>0.11042531679778439</v>
      </c>
    </row>
    <row r="76" spans="1:11" ht="15" customHeight="1">
      <c r="A76" s="39" t="s">
        <v>144</v>
      </c>
      <c r="B76" s="4"/>
      <c r="C76" s="4"/>
      <c r="D76" s="3" t="s">
        <v>145</v>
      </c>
      <c r="E76" s="5"/>
      <c r="F76" s="177"/>
      <c r="G76" s="178">
        <v>1</v>
      </c>
      <c r="H76" s="6">
        <f>H77</f>
        <v>184.45999999999998</v>
      </c>
      <c r="I76" s="179"/>
      <c r="J76" s="6">
        <f>J77</f>
        <v>217.6628</v>
      </c>
      <c r="K76" s="95">
        <f t="shared" si="14"/>
        <v>0.0018727293280791902</v>
      </c>
    </row>
    <row r="77" spans="1:13" ht="52.5">
      <c r="A77" s="48" t="s">
        <v>146</v>
      </c>
      <c r="B77" s="49">
        <v>90467</v>
      </c>
      <c r="C77" s="49" t="s">
        <v>14</v>
      </c>
      <c r="D77" s="17" t="s">
        <v>407</v>
      </c>
      <c r="E77" s="50" t="s">
        <v>59</v>
      </c>
      <c r="F77" s="81">
        <v>9.2</v>
      </c>
      <c r="G77" s="81">
        <v>20.05</v>
      </c>
      <c r="H77" s="81">
        <f>F77*G77</f>
        <v>184.45999999999998</v>
      </c>
      <c r="I77" s="51">
        <f>SUM(G77*18/100)+G77</f>
        <v>23.659000000000002</v>
      </c>
      <c r="J77" s="51">
        <f>F77*I77</f>
        <v>217.6628</v>
      </c>
      <c r="K77" s="91">
        <f t="shared" si="14"/>
        <v>0.0018727293280791902</v>
      </c>
      <c r="M77">
        <f>F77*1.084</f>
        <v>9.9728</v>
      </c>
    </row>
    <row r="78" spans="1:11" ht="14.25">
      <c r="A78" s="39" t="s">
        <v>147</v>
      </c>
      <c r="B78" s="4"/>
      <c r="C78" s="4"/>
      <c r="D78" s="3" t="s">
        <v>148</v>
      </c>
      <c r="E78" s="5"/>
      <c r="F78" s="177"/>
      <c r="G78" s="178">
        <v>1</v>
      </c>
      <c r="H78" s="6">
        <f>H79+H80+H81</f>
        <v>1926.7621</v>
      </c>
      <c r="I78" s="179"/>
      <c r="J78" s="6">
        <f>J79+J80+J81</f>
        <v>2273.579278</v>
      </c>
      <c r="K78" s="95">
        <f t="shared" si="14"/>
        <v>0.019561443634942263</v>
      </c>
    </row>
    <row r="79" spans="1:11" ht="52.5">
      <c r="A79" s="48" t="s">
        <v>149</v>
      </c>
      <c r="B79" s="49">
        <v>87246</v>
      </c>
      <c r="C79" s="49" t="s">
        <v>14</v>
      </c>
      <c r="D79" s="17" t="s">
        <v>408</v>
      </c>
      <c r="E79" s="50" t="s">
        <v>16</v>
      </c>
      <c r="F79" s="81">
        <v>5.78</v>
      </c>
      <c r="G79" s="81">
        <v>56.07</v>
      </c>
      <c r="H79" s="81">
        <f>F79*G79</f>
        <v>324.0846</v>
      </c>
      <c r="I79" s="51">
        <f aca="true" t="shared" si="15" ref="I79:I100">SUM(G79*18/100)+G79</f>
        <v>66.1626</v>
      </c>
      <c r="J79" s="51">
        <f>F79*I79</f>
        <v>382.419828</v>
      </c>
      <c r="K79" s="91">
        <f t="shared" si="14"/>
        <v>0.003290267457436914</v>
      </c>
    </row>
    <row r="80" spans="1:11" ht="52.5">
      <c r="A80" s="48" t="s">
        <v>150</v>
      </c>
      <c r="B80" s="49">
        <v>87247</v>
      </c>
      <c r="C80" s="49" t="s">
        <v>14</v>
      </c>
      <c r="D80" s="17" t="s">
        <v>151</v>
      </c>
      <c r="E80" s="50" t="s">
        <v>16</v>
      </c>
      <c r="F80" s="81">
        <v>15</v>
      </c>
      <c r="G80" s="81">
        <v>50.34</v>
      </c>
      <c r="H80" s="81">
        <f>F80*G80</f>
        <v>755.1</v>
      </c>
      <c r="I80" s="51">
        <f t="shared" si="15"/>
        <v>59.4012</v>
      </c>
      <c r="J80" s="51">
        <f>F80*I80</f>
        <v>891.018</v>
      </c>
      <c r="K80" s="91">
        <f t="shared" si="14"/>
        <v>0.007666149385409284</v>
      </c>
    </row>
    <row r="81" spans="1:11" ht="52.5">
      <c r="A81" s="48" t="s">
        <v>152</v>
      </c>
      <c r="B81" s="49">
        <v>87248</v>
      </c>
      <c r="C81" s="49" t="s">
        <v>14</v>
      </c>
      <c r="D81" s="17" t="s">
        <v>409</v>
      </c>
      <c r="E81" s="50" t="s">
        <v>16</v>
      </c>
      <c r="F81" s="81">
        <v>19.25</v>
      </c>
      <c r="G81" s="81">
        <v>44.03</v>
      </c>
      <c r="H81" s="81">
        <f>F81*G81</f>
        <v>847.5775</v>
      </c>
      <c r="I81" s="51">
        <f t="shared" si="15"/>
        <v>51.9554</v>
      </c>
      <c r="J81" s="51">
        <f>F81*I81</f>
        <v>1000.14145</v>
      </c>
      <c r="K81" s="91">
        <f t="shared" si="14"/>
        <v>0.008605026792096062</v>
      </c>
    </row>
    <row r="82" spans="1:11" ht="14.25">
      <c r="A82" s="39" t="s">
        <v>153</v>
      </c>
      <c r="B82" s="4"/>
      <c r="C82" s="4"/>
      <c r="D82" s="3" t="s">
        <v>154</v>
      </c>
      <c r="E82" s="5"/>
      <c r="F82" s="177"/>
      <c r="G82" s="178">
        <v>1</v>
      </c>
      <c r="H82" s="6">
        <f>H83</f>
        <v>263.2404</v>
      </c>
      <c r="I82" s="179"/>
      <c r="J82" s="6">
        <f>J83</f>
        <v>310.623672</v>
      </c>
      <c r="K82" s="95">
        <f t="shared" si="14"/>
        <v>0.0026725469880478003</v>
      </c>
    </row>
    <row r="83" spans="1:13" ht="39">
      <c r="A83" s="48" t="s">
        <v>155</v>
      </c>
      <c r="B83" s="49">
        <v>88648</v>
      </c>
      <c r="C83" s="49" t="s">
        <v>14</v>
      </c>
      <c r="D83" s="17" t="s">
        <v>410</v>
      </c>
      <c r="E83" s="50" t="s">
        <v>59</v>
      </c>
      <c r="F83" s="81">
        <v>41.39</v>
      </c>
      <c r="G83" s="81">
        <v>6.36</v>
      </c>
      <c r="H83" s="81">
        <f>F83*G83</f>
        <v>263.2404</v>
      </c>
      <c r="I83" s="51">
        <f t="shared" si="15"/>
        <v>7.5048</v>
      </c>
      <c r="J83" s="51">
        <f>F83*I83</f>
        <v>310.623672</v>
      </c>
      <c r="K83" s="91">
        <f t="shared" si="14"/>
        <v>0.0026725469880478003</v>
      </c>
      <c r="M83">
        <f>F83*1.084</f>
        <v>44.866760000000006</v>
      </c>
    </row>
    <row r="84" spans="1:11" ht="15.75" customHeight="1">
      <c r="A84" s="39" t="s">
        <v>156</v>
      </c>
      <c r="B84" s="4"/>
      <c r="C84" s="4"/>
      <c r="D84" s="3" t="s">
        <v>157</v>
      </c>
      <c r="E84" s="5"/>
      <c r="F84" s="177"/>
      <c r="G84" s="178">
        <v>1</v>
      </c>
      <c r="H84" s="6">
        <f>H85</f>
        <v>264.6084</v>
      </c>
      <c r="I84" s="179"/>
      <c r="J84" s="6">
        <f>J85</f>
        <v>312.237912</v>
      </c>
      <c r="K84" s="95">
        <f t="shared" si="14"/>
        <v>0.002686435601952237</v>
      </c>
    </row>
    <row r="85" spans="1:11" ht="26.25">
      <c r="A85" s="48" t="s">
        <v>158</v>
      </c>
      <c r="B85" s="49">
        <v>98689</v>
      </c>
      <c r="C85" s="49" t="s">
        <v>14</v>
      </c>
      <c r="D85" s="17" t="s">
        <v>159</v>
      </c>
      <c r="E85" s="50" t="s">
        <v>59</v>
      </c>
      <c r="F85" s="81">
        <v>4.36</v>
      </c>
      <c r="G85" s="81">
        <v>60.69</v>
      </c>
      <c r="H85" s="81">
        <f>F85*G85</f>
        <v>264.6084</v>
      </c>
      <c r="I85" s="51">
        <f t="shared" si="15"/>
        <v>71.6142</v>
      </c>
      <c r="J85" s="51">
        <f>F85*I85</f>
        <v>312.237912</v>
      </c>
      <c r="K85" s="91">
        <f t="shared" si="14"/>
        <v>0.002686435601952237</v>
      </c>
    </row>
    <row r="86" spans="1:11" ht="16.5" customHeight="1">
      <c r="A86" s="39" t="s">
        <v>160</v>
      </c>
      <c r="B86" s="4"/>
      <c r="C86" s="4"/>
      <c r="D86" s="3" t="s">
        <v>161</v>
      </c>
      <c r="E86" s="5"/>
      <c r="F86" s="177"/>
      <c r="G86" s="178">
        <v>1</v>
      </c>
      <c r="H86" s="6">
        <f>H87</f>
        <v>591.0765</v>
      </c>
      <c r="I86" s="179"/>
      <c r="J86" s="6">
        <f>J87</f>
        <v>697.47027</v>
      </c>
      <c r="K86" s="95">
        <f t="shared" si="14"/>
        <v>0.0060009015325187005</v>
      </c>
    </row>
    <row r="87" spans="1:11" ht="48.75" customHeight="1">
      <c r="A87" s="48" t="s">
        <v>162</v>
      </c>
      <c r="B87" s="49">
        <v>101965</v>
      </c>
      <c r="C87" s="49" t="s">
        <v>14</v>
      </c>
      <c r="D87" s="17" t="s">
        <v>482</v>
      </c>
      <c r="E87" s="50" t="s">
        <v>59</v>
      </c>
      <c r="F87" s="81">
        <v>6.15</v>
      </c>
      <c r="G87" s="81">
        <v>96.11</v>
      </c>
      <c r="H87" s="81">
        <f aca="true" t="shared" si="16" ref="H87:H100">F87*G87</f>
        <v>591.0765</v>
      </c>
      <c r="I87" s="51">
        <f t="shared" si="15"/>
        <v>113.4098</v>
      </c>
      <c r="J87" s="51">
        <f>F87*I87</f>
        <v>697.47027</v>
      </c>
      <c r="K87" s="91">
        <f t="shared" si="14"/>
        <v>0.0060009015325187005</v>
      </c>
    </row>
    <row r="88" spans="1:11" ht="14.25" customHeight="1">
      <c r="A88" s="39" t="s">
        <v>163</v>
      </c>
      <c r="B88" s="4"/>
      <c r="C88" s="4"/>
      <c r="D88" s="3" t="s">
        <v>164</v>
      </c>
      <c r="E88" s="5"/>
      <c r="F88" s="177"/>
      <c r="G88" s="178">
        <v>1</v>
      </c>
      <c r="H88" s="6">
        <f>H89+H90</f>
        <v>2017.096</v>
      </c>
      <c r="I88" s="179"/>
      <c r="J88" s="6">
        <f>J89+J90</f>
        <v>2380.17328</v>
      </c>
      <c r="K88" s="95">
        <f t="shared" si="14"/>
        <v>0.02047855815218054</v>
      </c>
    </row>
    <row r="89" spans="1:11" ht="57.75" customHeight="1">
      <c r="A89" s="48" t="s">
        <v>165</v>
      </c>
      <c r="B89" s="49">
        <v>104611</v>
      </c>
      <c r="C89" s="49" t="s">
        <v>14</v>
      </c>
      <c r="D89" s="17" t="s">
        <v>166</v>
      </c>
      <c r="E89" s="50" t="s">
        <v>16</v>
      </c>
      <c r="F89" s="81">
        <v>18.64</v>
      </c>
      <c r="G89" s="81">
        <v>73.6</v>
      </c>
      <c r="H89" s="81">
        <f t="shared" si="16"/>
        <v>1371.904</v>
      </c>
      <c r="I89" s="51">
        <f t="shared" si="15"/>
        <v>86.848</v>
      </c>
      <c r="J89" s="51">
        <f>F89*I89</f>
        <v>1618.84672</v>
      </c>
      <c r="K89" s="91">
        <f t="shared" si="14"/>
        <v>0.01392824924704084</v>
      </c>
    </row>
    <row r="90" spans="1:11" ht="51.75" customHeight="1">
      <c r="A90" s="48" t="s">
        <v>167</v>
      </c>
      <c r="B90" s="49">
        <v>104612</v>
      </c>
      <c r="C90" s="49" t="s">
        <v>14</v>
      </c>
      <c r="D90" s="17" t="s">
        <v>411</v>
      </c>
      <c r="E90" s="50" t="s">
        <v>16</v>
      </c>
      <c r="F90" s="81">
        <v>8.7</v>
      </c>
      <c r="G90" s="81">
        <v>74.16</v>
      </c>
      <c r="H90" s="81">
        <f t="shared" si="16"/>
        <v>645.1919999999999</v>
      </c>
      <c r="I90" s="51">
        <f t="shared" si="15"/>
        <v>87.5088</v>
      </c>
      <c r="J90" s="51">
        <f>F90*I90</f>
        <v>761.3265599999999</v>
      </c>
      <c r="K90" s="91">
        <f t="shared" si="14"/>
        <v>0.006550308905139698</v>
      </c>
    </row>
    <row r="91" spans="1:11" ht="14.25">
      <c r="A91" s="39" t="s">
        <v>168</v>
      </c>
      <c r="B91" s="4"/>
      <c r="C91" s="4"/>
      <c r="D91" s="3" t="s">
        <v>169</v>
      </c>
      <c r="E91" s="5"/>
      <c r="F91" s="177"/>
      <c r="G91" s="178">
        <v>1</v>
      </c>
      <c r="H91" s="6">
        <f>H92+H93</f>
        <v>1632.4288000000001</v>
      </c>
      <c r="I91" s="179"/>
      <c r="J91" s="6">
        <f>J92+J93</f>
        <v>1926.265984</v>
      </c>
      <c r="K91" s="95">
        <f t="shared" si="14"/>
        <v>0.01657322611818887</v>
      </c>
    </row>
    <row r="92" spans="1:13" ht="46.5" customHeight="1">
      <c r="A92" s="48" t="s">
        <v>170</v>
      </c>
      <c r="B92" s="49">
        <v>88431</v>
      </c>
      <c r="C92" s="49" t="s">
        <v>14</v>
      </c>
      <c r="D92" s="17" t="s">
        <v>171</v>
      </c>
      <c r="E92" s="50" t="s">
        <v>16</v>
      </c>
      <c r="F92" s="81">
        <v>60.64</v>
      </c>
      <c r="G92" s="81">
        <v>23.02</v>
      </c>
      <c r="H92" s="81">
        <f t="shared" si="16"/>
        <v>1395.9328</v>
      </c>
      <c r="I92" s="51">
        <f t="shared" si="15"/>
        <v>27.1636</v>
      </c>
      <c r="J92" s="51">
        <f>F92*I92</f>
        <v>1647.2007039999999</v>
      </c>
      <c r="K92" s="91">
        <f t="shared" si="14"/>
        <v>0.014172201531972798</v>
      </c>
      <c r="M92">
        <f>F92*1.084</f>
        <v>65.73376</v>
      </c>
    </row>
    <row r="93" spans="1:11" ht="35.25" customHeight="1">
      <c r="A93" s="48" t="s">
        <v>172</v>
      </c>
      <c r="B93" s="49">
        <v>40001</v>
      </c>
      <c r="C93" s="49" t="s">
        <v>100</v>
      </c>
      <c r="D93" s="17" t="s">
        <v>412</v>
      </c>
      <c r="E93" s="50" t="s">
        <v>16</v>
      </c>
      <c r="F93" s="81">
        <v>60.64</v>
      </c>
      <c r="G93" s="81">
        <v>3.9</v>
      </c>
      <c r="H93" s="81">
        <f t="shared" si="16"/>
        <v>236.496</v>
      </c>
      <c r="I93" s="51">
        <f t="shared" si="15"/>
        <v>4.602</v>
      </c>
      <c r="J93" s="51">
        <f>F93*I93</f>
        <v>279.06528000000003</v>
      </c>
      <c r="K93" s="91">
        <f t="shared" si="14"/>
        <v>0.0024010245862160695</v>
      </c>
    </row>
    <row r="94" spans="1:11" ht="14.25">
      <c r="A94" s="39" t="s">
        <v>173</v>
      </c>
      <c r="B94" s="4"/>
      <c r="C94" s="4"/>
      <c r="D94" s="3" t="s">
        <v>174</v>
      </c>
      <c r="E94" s="5"/>
      <c r="F94" s="177"/>
      <c r="G94" s="178">
        <v>1</v>
      </c>
      <c r="H94" s="6">
        <f>H95+H96+H97+H98+H99+H100</f>
        <v>3981.6198</v>
      </c>
      <c r="I94" s="179"/>
      <c r="J94" s="6">
        <f>J95+J96+J97+J98+J99+J100</f>
        <v>4716.454276</v>
      </c>
      <c r="K94" s="95">
        <f t="shared" si="14"/>
        <v>0.04057947544187479</v>
      </c>
    </row>
    <row r="95" spans="1:13" ht="39">
      <c r="A95" s="48" t="s">
        <v>175</v>
      </c>
      <c r="B95" s="49">
        <v>88495</v>
      </c>
      <c r="C95" s="49" t="s">
        <v>14</v>
      </c>
      <c r="D95" s="17" t="s">
        <v>176</v>
      </c>
      <c r="E95" s="49" t="s">
        <v>16</v>
      </c>
      <c r="F95" s="81">
        <v>92.56</v>
      </c>
      <c r="G95" s="81">
        <v>10.12</v>
      </c>
      <c r="H95" s="81">
        <f t="shared" si="16"/>
        <v>936.7072</v>
      </c>
      <c r="I95" s="51">
        <f t="shared" si="15"/>
        <v>11.9416</v>
      </c>
      <c r="J95" s="51">
        <f>F95*I95</f>
        <v>1105.314496</v>
      </c>
      <c r="K95" s="91">
        <f t="shared" si="14"/>
        <v>0.00950991567420004</v>
      </c>
      <c r="M95">
        <f>F95*1.084</f>
        <v>100.33504</v>
      </c>
    </row>
    <row r="96" spans="1:11" ht="26.25">
      <c r="A96" s="48" t="s">
        <v>177</v>
      </c>
      <c r="B96" s="49">
        <v>88489</v>
      </c>
      <c r="C96" s="49" t="s">
        <v>14</v>
      </c>
      <c r="D96" s="17" t="s">
        <v>413</v>
      </c>
      <c r="E96" s="49" t="s">
        <v>16</v>
      </c>
      <c r="F96" s="81">
        <v>92.56</v>
      </c>
      <c r="G96" s="81">
        <v>12.04</v>
      </c>
      <c r="H96" s="81">
        <f t="shared" si="16"/>
        <v>1114.4224</v>
      </c>
      <c r="I96" s="51">
        <f t="shared" si="15"/>
        <v>14.207199999999998</v>
      </c>
      <c r="J96" s="51">
        <f>F96*I96</f>
        <v>1315.0184319999998</v>
      </c>
      <c r="K96" s="91">
        <f t="shared" si="14"/>
        <v>0.011314168450332854</v>
      </c>
    </row>
    <row r="97" spans="1:13" ht="39">
      <c r="A97" s="48" t="s">
        <v>178</v>
      </c>
      <c r="B97" s="49">
        <v>88494</v>
      </c>
      <c r="C97" s="49" t="s">
        <v>14</v>
      </c>
      <c r="D97" s="17" t="s">
        <v>414</v>
      </c>
      <c r="E97" s="49" t="s">
        <v>16</v>
      </c>
      <c r="F97" s="81">
        <v>44.38</v>
      </c>
      <c r="G97" s="81">
        <v>17.92</v>
      </c>
      <c r="H97" s="81">
        <f t="shared" si="16"/>
        <v>795.2896000000002</v>
      </c>
      <c r="I97" s="51">
        <f t="shared" si="15"/>
        <v>21.1456</v>
      </c>
      <c r="J97" s="51">
        <f>F97*I97</f>
        <v>938.4417280000001</v>
      </c>
      <c r="K97" s="91">
        <f t="shared" si="14"/>
        <v>0.008074174120331606</v>
      </c>
      <c r="M97">
        <f>F97*1.084</f>
        <v>48.10792000000001</v>
      </c>
    </row>
    <row r="98" spans="1:11" ht="26.25">
      <c r="A98" s="48" t="s">
        <v>179</v>
      </c>
      <c r="B98" s="49">
        <v>88488</v>
      </c>
      <c r="C98" s="49" t="s">
        <v>14</v>
      </c>
      <c r="D98" s="17" t="s">
        <v>415</v>
      </c>
      <c r="E98" s="49" t="s">
        <v>16</v>
      </c>
      <c r="F98" s="81">
        <v>44.38</v>
      </c>
      <c r="G98" s="81">
        <v>14.05</v>
      </c>
      <c r="H98" s="81">
        <f t="shared" si="16"/>
        <v>623.5390000000001</v>
      </c>
      <c r="I98" s="51">
        <f t="shared" si="15"/>
        <v>16.579</v>
      </c>
      <c r="J98" s="51">
        <f>F98*I98</f>
        <v>735.77602</v>
      </c>
      <c r="K98" s="91">
        <f t="shared" si="14"/>
        <v>0.006330476919121599</v>
      </c>
    </row>
    <row r="99" spans="1:11" ht="26.25">
      <c r="A99" s="48" t="s">
        <v>180</v>
      </c>
      <c r="B99" s="49">
        <v>40002</v>
      </c>
      <c r="C99" s="49" t="s">
        <v>100</v>
      </c>
      <c r="D99" s="17" t="s">
        <v>181</v>
      </c>
      <c r="E99" s="49" t="s">
        <v>16</v>
      </c>
      <c r="F99" s="81">
        <v>92.56</v>
      </c>
      <c r="G99" s="81">
        <v>3.61</v>
      </c>
      <c r="H99" s="81">
        <f t="shared" si="16"/>
        <v>334.1416</v>
      </c>
      <c r="I99" s="51">
        <f t="shared" si="15"/>
        <v>4.2598</v>
      </c>
      <c r="J99" s="51">
        <v>412.43</v>
      </c>
      <c r="K99" s="91">
        <f t="shared" si="14"/>
        <v>0.0035484692688860955</v>
      </c>
    </row>
    <row r="100" spans="1:13" ht="26.25">
      <c r="A100" s="48" t="s">
        <v>182</v>
      </c>
      <c r="B100" s="49">
        <v>40003</v>
      </c>
      <c r="C100" s="49" t="s">
        <v>100</v>
      </c>
      <c r="D100" s="17" t="s">
        <v>416</v>
      </c>
      <c r="E100" s="49" t="s">
        <v>16</v>
      </c>
      <c r="F100" s="81">
        <v>44.38</v>
      </c>
      <c r="G100" s="81">
        <v>4</v>
      </c>
      <c r="H100" s="81">
        <f t="shared" si="16"/>
        <v>177.52</v>
      </c>
      <c r="I100" s="51">
        <f t="shared" si="15"/>
        <v>4.72</v>
      </c>
      <c r="J100" s="51">
        <f>F100*I100</f>
        <v>209.4736</v>
      </c>
      <c r="K100" s="91">
        <f t="shared" si="14"/>
        <v>0.0018022710090025906</v>
      </c>
      <c r="M100">
        <f>F100*1.084</f>
        <v>48.10792000000001</v>
      </c>
    </row>
    <row r="101" spans="1:11" ht="14.25">
      <c r="A101" s="39" t="s">
        <v>183</v>
      </c>
      <c r="B101" s="4"/>
      <c r="C101" s="4"/>
      <c r="D101" s="3" t="s">
        <v>184</v>
      </c>
      <c r="E101" s="5"/>
      <c r="F101" s="177"/>
      <c r="G101" s="178">
        <v>1</v>
      </c>
      <c r="H101" s="6">
        <f>H102+H141+H172+H197</f>
        <v>28960.988300000005</v>
      </c>
      <c r="I101" s="179"/>
      <c r="J101" s="6">
        <f>J102+J141+J172+J197</f>
        <v>34173.96619399999</v>
      </c>
      <c r="K101" s="95">
        <f t="shared" si="14"/>
        <v>0.2940263046707594</v>
      </c>
    </row>
    <row r="102" spans="1:11" ht="14.25">
      <c r="A102" s="39" t="s">
        <v>185</v>
      </c>
      <c r="B102" s="4"/>
      <c r="C102" s="4"/>
      <c r="D102" s="3" t="s">
        <v>186</v>
      </c>
      <c r="E102" s="5"/>
      <c r="F102" s="177"/>
      <c r="G102" s="178">
        <v>1</v>
      </c>
      <c r="H102" s="6">
        <f>SUM(H103:H140)</f>
        <v>15592.009600000001</v>
      </c>
      <c r="I102" s="179"/>
      <c r="J102" s="6">
        <f>SUM(J103:J140)</f>
        <v>18398.571327999998</v>
      </c>
      <c r="K102" s="95">
        <f t="shared" si="14"/>
        <v>0.15829780798879042</v>
      </c>
    </row>
    <row r="103" spans="1:11" ht="52.5">
      <c r="A103" s="48" t="s">
        <v>187</v>
      </c>
      <c r="B103" s="49">
        <v>101490</v>
      </c>
      <c r="C103" s="49" t="s">
        <v>14</v>
      </c>
      <c r="D103" s="17" t="s">
        <v>487</v>
      </c>
      <c r="E103" s="49" t="s">
        <v>23</v>
      </c>
      <c r="F103" s="81">
        <v>1</v>
      </c>
      <c r="G103" s="81">
        <v>1421.3</v>
      </c>
      <c r="H103" s="81">
        <f aca="true" t="shared" si="17" ref="H103:H167">F103*G103</f>
        <v>1421.3</v>
      </c>
      <c r="I103" s="51">
        <f aca="true" t="shared" si="18" ref="I103:I167">SUM(G103*18/100)+G103</f>
        <v>1677.134</v>
      </c>
      <c r="J103" s="51">
        <f aca="true" t="shared" si="19" ref="J103:J140">F103*I103</f>
        <v>1677.134</v>
      </c>
      <c r="K103" s="91">
        <f t="shared" si="14"/>
        <v>0.014429741916941088</v>
      </c>
    </row>
    <row r="104" spans="1:11" ht="63.75" customHeight="1">
      <c r="A104" s="48" t="s">
        <v>188</v>
      </c>
      <c r="B104" s="49">
        <v>100599</v>
      </c>
      <c r="C104" s="49" t="s">
        <v>14</v>
      </c>
      <c r="D104" s="17" t="s">
        <v>398</v>
      </c>
      <c r="E104" s="49" t="s">
        <v>23</v>
      </c>
      <c r="F104" s="81">
        <v>1</v>
      </c>
      <c r="G104" s="81">
        <v>452.65</v>
      </c>
      <c r="H104" s="81">
        <f t="shared" si="17"/>
        <v>452.65</v>
      </c>
      <c r="I104" s="51">
        <f t="shared" si="18"/>
        <v>534.127</v>
      </c>
      <c r="J104" s="51">
        <f>F104*I104</f>
        <v>534.127</v>
      </c>
      <c r="K104" s="91">
        <f aca="true" t="shared" si="20" ref="K104:K135">J104/$J$234</f>
        <v>0.004595527108072457</v>
      </c>
    </row>
    <row r="105" spans="1:11" ht="42" customHeight="1">
      <c r="A105" s="48" t="s">
        <v>189</v>
      </c>
      <c r="B105" s="49">
        <v>41196</v>
      </c>
      <c r="C105" s="49" t="s">
        <v>14</v>
      </c>
      <c r="D105" s="17" t="s">
        <v>399</v>
      </c>
      <c r="E105" s="49" t="s">
        <v>23</v>
      </c>
      <c r="F105" s="81">
        <v>1</v>
      </c>
      <c r="G105" s="81">
        <v>660.92</v>
      </c>
      <c r="H105" s="81">
        <f t="shared" si="17"/>
        <v>660.92</v>
      </c>
      <c r="I105" s="51">
        <f t="shared" si="18"/>
        <v>779.8856</v>
      </c>
      <c r="J105" s="51">
        <f>F105*I105</f>
        <v>779.8856</v>
      </c>
      <c r="K105" s="91">
        <f t="shared" si="20"/>
        <v>0.0067099873550585405</v>
      </c>
    </row>
    <row r="106" spans="1:11" ht="40.5" customHeight="1">
      <c r="A106" s="48" t="s">
        <v>191</v>
      </c>
      <c r="B106" s="49">
        <v>98111</v>
      </c>
      <c r="C106" s="49" t="s">
        <v>14</v>
      </c>
      <c r="D106" s="17" t="s">
        <v>417</v>
      </c>
      <c r="E106" s="49" t="s">
        <v>23</v>
      </c>
      <c r="F106" s="81">
        <v>1</v>
      </c>
      <c r="G106" s="81">
        <v>45.27</v>
      </c>
      <c r="H106" s="81">
        <f t="shared" si="17"/>
        <v>45.27</v>
      </c>
      <c r="I106" s="51">
        <f t="shared" si="18"/>
        <v>53.418600000000005</v>
      </c>
      <c r="J106" s="51">
        <f t="shared" si="19"/>
        <v>53.418600000000005</v>
      </c>
      <c r="K106" s="91">
        <f t="shared" si="20"/>
        <v>0.00045960347328496666</v>
      </c>
    </row>
    <row r="107" spans="1:11" ht="26.25">
      <c r="A107" s="48" t="s">
        <v>193</v>
      </c>
      <c r="B107" s="49">
        <v>96985</v>
      </c>
      <c r="C107" s="49" t="s">
        <v>14</v>
      </c>
      <c r="D107" s="17" t="s">
        <v>190</v>
      </c>
      <c r="E107" s="49" t="s">
        <v>23</v>
      </c>
      <c r="F107" s="81">
        <v>1</v>
      </c>
      <c r="G107" s="81">
        <v>99.45</v>
      </c>
      <c r="H107" s="81">
        <f t="shared" si="17"/>
        <v>99.45</v>
      </c>
      <c r="I107" s="51">
        <f t="shared" si="18"/>
        <v>117.351</v>
      </c>
      <c r="J107" s="51">
        <f t="shared" si="19"/>
        <v>117.351</v>
      </c>
      <c r="K107" s="91">
        <f t="shared" si="20"/>
        <v>0.0010096656818685647</v>
      </c>
    </row>
    <row r="108" spans="1:11" ht="39">
      <c r="A108" s="48" t="s">
        <v>195</v>
      </c>
      <c r="B108" s="49">
        <v>91953</v>
      </c>
      <c r="C108" s="49" t="s">
        <v>14</v>
      </c>
      <c r="D108" s="17" t="s">
        <v>192</v>
      </c>
      <c r="E108" s="49" t="s">
        <v>23</v>
      </c>
      <c r="F108" s="81">
        <v>6</v>
      </c>
      <c r="G108" s="81">
        <v>27.34</v>
      </c>
      <c r="H108" s="81">
        <f t="shared" si="17"/>
        <v>164.04</v>
      </c>
      <c r="I108" s="51">
        <f t="shared" si="18"/>
        <v>32.2612</v>
      </c>
      <c r="J108" s="51">
        <f t="shared" si="19"/>
        <v>193.5672</v>
      </c>
      <c r="K108" s="91">
        <f t="shared" si="20"/>
        <v>0.0016654153690670627</v>
      </c>
    </row>
    <row r="109" spans="1:11" ht="52.5">
      <c r="A109" s="48" t="s">
        <v>197</v>
      </c>
      <c r="B109" s="49">
        <v>60010</v>
      </c>
      <c r="C109" s="49" t="s">
        <v>100</v>
      </c>
      <c r="D109" s="17" t="s">
        <v>194</v>
      </c>
      <c r="E109" s="49" t="s">
        <v>23</v>
      </c>
      <c r="F109" s="81">
        <v>2</v>
      </c>
      <c r="G109" s="81">
        <v>75.96</v>
      </c>
      <c r="H109" s="81">
        <f t="shared" si="17"/>
        <v>151.92</v>
      </c>
      <c r="I109" s="51">
        <f t="shared" si="18"/>
        <v>89.63279999999999</v>
      </c>
      <c r="J109" s="51">
        <f t="shared" si="19"/>
        <v>179.26559999999998</v>
      </c>
      <c r="K109" s="91">
        <f t="shared" si="20"/>
        <v>0.0015423671230716174</v>
      </c>
    </row>
    <row r="110" spans="1:11" ht="52.5">
      <c r="A110" s="48" t="s">
        <v>199</v>
      </c>
      <c r="B110" s="49">
        <v>60011</v>
      </c>
      <c r="C110" s="49" t="s">
        <v>100</v>
      </c>
      <c r="D110" s="17" t="s">
        <v>196</v>
      </c>
      <c r="E110" s="49" t="s">
        <v>23</v>
      </c>
      <c r="F110" s="81">
        <v>4</v>
      </c>
      <c r="G110" s="81">
        <v>54.5</v>
      </c>
      <c r="H110" s="81">
        <f t="shared" si="17"/>
        <v>218</v>
      </c>
      <c r="I110" s="51">
        <f t="shared" si="18"/>
        <v>64.31</v>
      </c>
      <c r="J110" s="51">
        <f t="shared" si="19"/>
        <v>257.24</v>
      </c>
      <c r="K110" s="91">
        <f t="shared" si="20"/>
        <v>0.0022132440286309414</v>
      </c>
    </row>
    <row r="111" spans="1:11" ht="39">
      <c r="A111" s="48" t="s">
        <v>201</v>
      </c>
      <c r="B111" s="49">
        <v>92001</v>
      </c>
      <c r="C111" s="49" t="s">
        <v>14</v>
      </c>
      <c r="D111" s="17" t="s">
        <v>198</v>
      </c>
      <c r="E111" s="49" t="s">
        <v>23</v>
      </c>
      <c r="F111" s="81">
        <v>10</v>
      </c>
      <c r="G111" s="81">
        <v>30.97</v>
      </c>
      <c r="H111" s="81">
        <f t="shared" si="17"/>
        <v>309.7</v>
      </c>
      <c r="I111" s="51">
        <f t="shared" si="18"/>
        <v>36.5446</v>
      </c>
      <c r="J111" s="51">
        <f t="shared" si="19"/>
        <v>365.446</v>
      </c>
      <c r="K111" s="91">
        <f t="shared" si="20"/>
        <v>0.003144227870032122</v>
      </c>
    </row>
    <row r="112" spans="1:11" ht="39">
      <c r="A112" s="48" t="s">
        <v>203</v>
      </c>
      <c r="B112" s="49">
        <v>91997</v>
      </c>
      <c r="C112" s="49" t="s">
        <v>14</v>
      </c>
      <c r="D112" s="17" t="s">
        <v>200</v>
      </c>
      <c r="E112" s="49" t="s">
        <v>23</v>
      </c>
      <c r="F112" s="81">
        <v>6</v>
      </c>
      <c r="G112" s="81">
        <v>34.27</v>
      </c>
      <c r="H112" s="81">
        <f t="shared" si="17"/>
        <v>205.62</v>
      </c>
      <c r="I112" s="51">
        <f t="shared" si="18"/>
        <v>40.4386</v>
      </c>
      <c r="J112" s="51">
        <f t="shared" si="19"/>
        <v>242.6316</v>
      </c>
      <c r="K112" s="91">
        <f t="shared" si="20"/>
        <v>0.00208755613379401</v>
      </c>
    </row>
    <row r="113" spans="1:11" ht="39">
      <c r="A113" s="48" t="s">
        <v>205</v>
      </c>
      <c r="B113" s="49">
        <v>92005</v>
      </c>
      <c r="C113" s="49" t="s">
        <v>14</v>
      </c>
      <c r="D113" s="17" t="s">
        <v>202</v>
      </c>
      <c r="E113" s="49" t="s">
        <v>23</v>
      </c>
      <c r="F113" s="81">
        <v>6</v>
      </c>
      <c r="G113" s="81">
        <v>55.69</v>
      </c>
      <c r="H113" s="81">
        <f t="shared" si="17"/>
        <v>334.14</v>
      </c>
      <c r="I113" s="51">
        <f t="shared" si="18"/>
        <v>65.7142</v>
      </c>
      <c r="J113" s="51">
        <f t="shared" si="19"/>
        <v>394.28520000000003</v>
      </c>
      <c r="K113" s="91">
        <f t="shared" si="20"/>
        <v>0.003392354861131848</v>
      </c>
    </row>
    <row r="114" spans="1:11" ht="39">
      <c r="A114" s="48" t="s">
        <v>207</v>
      </c>
      <c r="B114" s="49">
        <v>92013</v>
      </c>
      <c r="C114" s="49" t="s">
        <v>14</v>
      </c>
      <c r="D114" s="17" t="s">
        <v>204</v>
      </c>
      <c r="E114" s="49" t="s">
        <v>23</v>
      </c>
      <c r="F114" s="81">
        <v>2</v>
      </c>
      <c r="G114" s="81">
        <v>77.05</v>
      </c>
      <c r="H114" s="81">
        <f t="shared" si="17"/>
        <v>154.1</v>
      </c>
      <c r="I114" s="51">
        <f t="shared" si="18"/>
        <v>90.919</v>
      </c>
      <c r="J114" s="51">
        <f t="shared" si="19"/>
        <v>181.838</v>
      </c>
      <c r="K114" s="91">
        <f t="shared" si="20"/>
        <v>0.001564499563357927</v>
      </c>
    </row>
    <row r="115" spans="1:11" ht="39">
      <c r="A115" s="48" t="s">
        <v>209</v>
      </c>
      <c r="B115" s="49">
        <v>91993</v>
      </c>
      <c r="C115" s="49" t="s">
        <v>14</v>
      </c>
      <c r="D115" s="17" t="s">
        <v>206</v>
      </c>
      <c r="E115" s="49" t="s">
        <v>23</v>
      </c>
      <c r="F115" s="81">
        <v>8</v>
      </c>
      <c r="G115" s="81">
        <v>42.79</v>
      </c>
      <c r="H115" s="81">
        <f t="shared" si="17"/>
        <v>342.32</v>
      </c>
      <c r="I115" s="51">
        <f t="shared" si="18"/>
        <v>50.4922</v>
      </c>
      <c r="J115" s="51">
        <f t="shared" si="19"/>
        <v>403.9376</v>
      </c>
      <c r="K115" s="91">
        <f t="shared" si="20"/>
        <v>0.0034754022746832287</v>
      </c>
    </row>
    <row r="116" spans="1:11" ht="26.25">
      <c r="A116" s="48" t="s">
        <v>211</v>
      </c>
      <c r="B116" s="49">
        <v>91936</v>
      </c>
      <c r="C116" s="49" t="s">
        <v>14</v>
      </c>
      <c r="D116" s="17" t="s">
        <v>208</v>
      </c>
      <c r="E116" s="49" t="s">
        <v>23</v>
      </c>
      <c r="F116" s="81">
        <v>12</v>
      </c>
      <c r="G116" s="81">
        <v>15.89</v>
      </c>
      <c r="H116" s="81">
        <f t="shared" si="17"/>
        <v>190.68</v>
      </c>
      <c r="I116" s="51">
        <f t="shared" si="18"/>
        <v>18.7502</v>
      </c>
      <c r="J116" s="51">
        <f t="shared" si="19"/>
        <v>225.0024</v>
      </c>
      <c r="K116" s="91">
        <f t="shared" si="20"/>
        <v>0.0019358778503639812</v>
      </c>
    </row>
    <row r="117" spans="1:11" ht="39">
      <c r="A117" s="48" t="s">
        <v>213</v>
      </c>
      <c r="B117" s="49">
        <v>60013</v>
      </c>
      <c r="C117" s="49" t="s">
        <v>100</v>
      </c>
      <c r="D117" s="17" t="s">
        <v>210</v>
      </c>
      <c r="E117" s="49" t="s">
        <v>23</v>
      </c>
      <c r="F117" s="81">
        <v>2</v>
      </c>
      <c r="G117" s="81">
        <v>85.75</v>
      </c>
      <c r="H117" s="81">
        <f t="shared" si="17"/>
        <v>171.5</v>
      </c>
      <c r="I117" s="51">
        <f t="shared" si="18"/>
        <v>101.185</v>
      </c>
      <c r="J117" s="51">
        <f t="shared" si="19"/>
        <v>202.37</v>
      </c>
      <c r="K117" s="91">
        <f t="shared" si="20"/>
        <v>0.001741152985826635</v>
      </c>
    </row>
    <row r="118" spans="1:11" ht="39">
      <c r="A118" s="48" t="s">
        <v>214</v>
      </c>
      <c r="B118" s="49">
        <v>60015</v>
      </c>
      <c r="C118" s="49" t="s">
        <v>100</v>
      </c>
      <c r="D118" s="17" t="s">
        <v>212</v>
      </c>
      <c r="E118" s="49" t="s">
        <v>23</v>
      </c>
      <c r="F118" s="81">
        <v>4</v>
      </c>
      <c r="G118" s="81">
        <v>42.74</v>
      </c>
      <c r="H118" s="81">
        <f t="shared" si="17"/>
        <v>170.96</v>
      </c>
      <c r="I118" s="51">
        <f t="shared" si="18"/>
        <v>50.4332</v>
      </c>
      <c r="J118" s="51">
        <f t="shared" si="19"/>
        <v>201.7328</v>
      </c>
      <c r="K118" s="91">
        <f t="shared" si="20"/>
        <v>0.0017356706382327786</v>
      </c>
    </row>
    <row r="119" spans="1:11" ht="26.25">
      <c r="A119" s="48" t="s">
        <v>216</v>
      </c>
      <c r="B119" s="49">
        <v>60014</v>
      </c>
      <c r="C119" s="49" t="s">
        <v>100</v>
      </c>
      <c r="D119" s="17" t="s">
        <v>418</v>
      </c>
      <c r="E119" s="49" t="s">
        <v>23</v>
      </c>
      <c r="F119" s="81">
        <v>8</v>
      </c>
      <c r="G119" s="81">
        <v>39.02</v>
      </c>
      <c r="H119" s="81">
        <f t="shared" si="17"/>
        <v>312.16</v>
      </c>
      <c r="I119" s="51">
        <f t="shared" si="18"/>
        <v>46.043600000000005</v>
      </c>
      <c r="J119" s="51">
        <f t="shared" si="19"/>
        <v>368.34880000000004</v>
      </c>
      <c r="K119" s="91">
        <f t="shared" si="20"/>
        <v>0.0031692030090708016</v>
      </c>
    </row>
    <row r="120" spans="1:11" ht="39">
      <c r="A120" s="48" t="s">
        <v>218</v>
      </c>
      <c r="B120" s="49">
        <v>91941</v>
      </c>
      <c r="C120" s="49" t="s">
        <v>14</v>
      </c>
      <c r="D120" s="17" t="s">
        <v>215</v>
      </c>
      <c r="E120" s="49" t="s">
        <v>23</v>
      </c>
      <c r="F120" s="81">
        <v>10</v>
      </c>
      <c r="G120" s="81">
        <v>10.12</v>
      </c>
      <c r="H120" s="81">
        <f t="shared" si="17"/>
        <v>101.19999999999999</v>
      </c>
      <c r="I120" s="51">
        <f t="shared" si="18"/>
        <v>11.9416</v>
      </c>
      <c r="J120" s="51">
        <f t="shared" si="19"/>
        <v>119.416</v>
      </c>
      <c r="K120" s="91">
        <f t="shared" si="20"/>
        <v>0.0010274325490708773</v>
      </c>
    </row>
    <row r="121" spans="1:11" ht="39">
      <c r="A121" s="48" t="s">
        <v>220</v>
      </c>
      <c r="B121" s="49">
        <v>91940</v>
      </c>
      <c r="C121" s="49" t="s">
        <v>14</v>
      </c>
      <c r="D121" s="17" t="s">
        <v>217</v>
      </c>
      <c r="E121" s="49" t="s">
        <v>23</v>
      </c>
      <c r="F121" s="81">
        <v>13</v>
      </c>
      <c r="G121" s="81">
        <v>15.71</v>
      </c>
      <c r="H121" s="81">
        <f t="shared" si="17"/>
        <v>204.23000000000002</v>
      </c>
      <c r="I121" s="51">
        <f t="shared" si="18"/>
        <v>18.5378</v>
      </c>
      <c r="J121" s="51">
        <f t="shared" si="19"/>
        <v>240.9914</v>
      </c>
      <c r="K121" s="91">
        <f t="shared" si="20"/>
        <v>0.0020734441649876015</v>
      </c>
    </row>
    <row r="122" spans="1:11" ht="39">
      <c r="A122" s="48" t="s">
        <v>222</v>
      </c>
      <c r="B122" s="49">
        <v>91939</v>
      </c>
      <c r="C122" s="49" t="s">
        <v>14</v>
      </c>
      <c r="D122" s="17" t="s">
        <v>219</v>
      </c>
      <c r="E122" s="49" t="s">
        <v>23</v>
      </c>
      <c r="F122" s="81">
        <v>8</v>
      </c>
      <c r="G122" s="81">
        <v>27.08</v>
      </c>
      <c r="H122" s="81">
        <f t="shared" si="17"/>
        <v>216.64</v>
      </c>
      <c r="I122" s="51">
        <f t="shared" si="18"/>
        <v>31.9544</v>
      </c>
      <c r="J122" s="51">
        <f t="shared" si="19"/>
        <v>255.6352</v>
      </c>
      <c r="K122" s="91">
        <f t="shared" si="20"/>
        <v>0.0021994366346908584</v>
      </c>
    </row>
    <row r="123" spans="1:11" ht="52.5">
      <c r="A123" s="48" t="s">
        <v>223</v>
      </c>
      <c r="B123" s="49">
        <v>91924</v>
      </c>
      <c r="C123" s="49" t="s">
        <v>14</v>
      </c>
      <c r="D123" s="17" t="s">
        <v>221</v>
      </c>
      <c r="E123" s="49" t="s">
        <v>59</v>
      </c>
      <c r="F123" s="81">
        <v>100</v>
      </c>
      <c r="G123" s="81">
        <v>2.62</v>
      </c>
      <c r="H123" s="81">
        <f t="shared" si="17"/>
        <v>262</v>
      </c>
      <c r="I123" s="51">
        <f t="shared" si="18"/>
        <v>3.0916</v>
      </c>
      <c r="J123" s="51">
        <f t="shared" si="19"/>
        <v>309.16</v>
      </c>
      <c r="K123" s="91">
        <f t="shared" si="20"/>
        <v>0.0026599538325748013</v>
      </c>
    </row>
    <row r="124" spans="1:11" ht="52.5">
      <c r="A124" s="48" t="s">
        <v>224</v>
      </c>
      <c r="B124" s="49">
        <v>91924</v>
      </c>
      <c r="C124" s="49" t="s">
        <v>14</v>
      </c>
      <c r="D124" s="17" t="s">
        <v>419</v>
      </c>
      <c r="E124" s="49" t="s">
        <v>59</v>
      </c>
      <c r="F124" s="81">
        <v>60</v>
      </c>
      <c r="G124" s="81">
        <v>2.62</v>
      </c>
      <c r="H124" s="81">
        <f t="shared" si="17"/>
        <v>157.20000000000002</v>
      </c>
      <c r="I124" s="51">
        <f t="shared" si="18"/>
        <v>3.0916</v>
      </c>
      <c r="J124" s="51">
        <f t="shared" si="19"/>
        <v>185.496</v>
      </c>
      <c r="K124" s="91">
        <f t="shared" si="20"/>
        <v>0.0015959722995448808</v>
      </c>
    </row>
    <row r="125" spans="1:11" ht="52.5">
      <c r="A125" s="48" t="s">
        <v>225</v>
      </c>
      <c r="B125" s="49">
        <v>91924</v>
      </c>
      <c r="C125" s="49" t="s">
        <v>14</v>
      </c>
      <c r="D125" s="17" t="s">
        <v>420</v>
      </c>
      <c r="E125" s="49" t="s">
        <v>59</v>
      </c>
      <c r="F125" s="81">
        <v>146</v>
      </c>
      <c r="G125" s="81">
        <v>2.62</v>
      </c>
      <c r="H125" s="81">
        <f t="shared" si="17"/>
        <v>382.52000000000004</v>
      </c>
      <c r="I125" s="51">
        <f t="shared" si="18"/>
        <v>3.0916</v>
      </c>
      <c r="J125" s="51">
        <f t="shared" si="19"/>
        <v>451.3736</v>
      </c>
      <c r="K125" s="91">
        <f t="shared" si="20"/>
        <v>0.00388353259555921</v>
      </c>
    </row>
    <row r="126" spans="1:11" ht="52.5">
      <c r="A126" s="48" t="s">
        <v>227</v>
      </c>
      <c r="B126" s="49">
        <v>91926</v>
      </c>
      <c r="C126" s="49" t="s">
        <v>14</v>
      </c>
      <c r="D126" s="17" t="s">
        <v>421</v>
      </c>
      <c r="E126" s="49" t="s">
        <v>59</v>
      </c>
      <c r="F126" s="81">
        <v>414</v>
      </c>
      <c r="G126" s="81">
        <v>3.78</v>
      </c>
      <c r="H126" s="81">
        <f t="shared" si="17"/>
        <v>1564.9199999999998</v>
      </c>
      <c r="I126" s="51">
        <f t="shared" si="18"/>
        <v>4.4604</v>
      </c>
      <c r="J126" s="51">
        <f t="shared" si="19"/>
        <v>1846.6055999999999</v>
      </c>
      <c r="K126" s="91">
        <f t="shared" si="20"/>
        <v>0.015887843326996023</v>
      </c>
    </row>
    <row r="127" spans="1:11" ht="52.5">
      <c r="A127" s="48" t="s">
        <v>228</v>
      </c>
      <c r="B127" s="49">
        <v>91926</v>
      </c>
      <c r="C127" s="49" t="s">
        <v>14</v>
      </c>
      <c r="D127" s="17" t="s">
        <v>226</v>
      </c>
      <c r="E127" s="49" t="s">
        <v>59</v>
      </c>
      <c r="F127" s="81">
        <v>226</v>
      </c>
      <c r="G127" s="81">
        <v>3.78</v>
      </c>
      <c r="H127" s="81">
        <f t="shared" si="17"/>
        <v>854.28</v>
      </c>
      <c r="I127" s="51">
        <f t="shared" si="18"/>
        <v>4.4604</v>
      </c>
      <c r="J127" s="51">
        <f t="shared" si="19"/>
        <v>1008.0504</v>
      </c>
      <c r="K127" s="91">
        <f t="shared" si="20"/>
        <v>0.008673073893480921</v>
      </c>
    </row>
    <row r="128" spans="1:11" ht="52.5">
      <c r="A128" s="48" t="s">
        <v>229</v>
      </c>
      <c r="B128" s="49">
        <v>91926</v>
      </c>
      <c r="C128" s="49" t="s">
        <v>14</v>
      </c>
      <c r="D128" s="17" t="s">
        <v>422</v>
      </c>
      <c r="E128" s="49" t="s">
        <v>59</v>
      </c>
      <c r="F128" s="81">
        <v>196</v>
      </c>
      <c r="G128" s="81">
        <v>3.78</v>
      </c>
      <c r="H128" s="81">
        <f t="shared" si="17"/>
        <v>740.88</v>
      </c>
      <c r="I128" s="51">
        <f t="shared" si="18"/>
        <v>4.4604</v>
      </c>
      <c r="J128" s="51">
        <f t="shared" si="19"/>
        <v>874.2384</v>
      </c>
      <c r="K128" s="91">
        <f t="shared" si="20"/>
        <v>0.007521780898771063</v>
      </c>
    </row>
    <row r="129" spans="1:11" ht="52.5">
      <c r="A129" s="48" t="s">
        <v>230</v>
      </c>
      <c r="B129" s="49">
        <v>91930</v>
      </c>
      <c r="C129" s="49" t="s">
        <v>14</v>
      </c>
      <c r="D129" s="17" t="s">
        <v>423</v>
      </c>
      <c r="E129" s="49" t="s">
        <v>59</v>
      </c>
      <c r="F129" s="81">
        <v>52</v>
      </c>
      <c r="G129" s="81">
        <v>8.17</v>
      </c>
      <c r="H129" s="81">
        <f t="shared" si="17"/>
        <v>424.84</v>
      </c>
      <c r="I129" s="51">
        <f t="shared" si="18"/>
        <v>9.6406</v>
      </c>
      <c r="J129" s="51">
        <f t="shared" si="19"/>
        <v>501.3112</v>
      </c>
      <c r="K129" s="91">
        <f t="shared" si="20"/>
        <v>0.004313186206988849</v>
      </c>
    </row>
    <row r="130" spans="1:11" ht="52.5">
      <c r="A130" s="48" t="s">
        <v>232</v>
      </c>
      <c r="B130" s="49">
        <v>91930</v>
      </c>
      <c r="C130" s="49" t="s">
        <v>14</v>
      </c>
      <c r="D130" s="17" t="s">
        <v>424</v>
      </c>
      <c r="E130" s="49" t="s">
        <v>59</v>
      </c>
      <c r="F130" s="81">
        <v>26</v>
      </c>
      <c r="G130" s="81">
        <v>8.17</v>
      </c>
      <c r="H130" s="81">
        <f t="shared" si="17"/>
        <v>212.42</v>
      </c>
      <c r="I130" s="51">
        <f t="shared" si="18"/>
        <v>9.6406</v>
      </c>
      <c r="J130" s="51">
        <f t="shared" si="19"/>
        <v>250.6556</v>
      </c>
      <c r="K130" s="91">
        <f t="shared" si="20"/>
        <v>0.0021565931034944245</v>
      </c>
    </row>
    <row r="131" spans="1:11" ht="66">
      <c r="A131" s="48" t="s">
        <v>234</v>
      </c>
      <c r="B131" s="49">
        <v>92984</v>
      </c>
      <c r="C131" s="49" t="s">
        <v>14</v>
      </c>
      <c r="D131" s="17" t="s">
        <v>231</v>
      </c>
      <c r="E131" s="49" t="s">
        <v>59</v>
      </c>
      <c r="F131" s="81">
        <v>68</v>
      </c>
      <c r="G131" s="81">
        <v>23.91</v>
      </c>
      <c r="H131" s="81">
        <f t="shared" si="17"/>
        <v>1625.88</v>
      </c>
      <c r="I131" s="51">
        <f t="shared" si="18"/>
        <v>28.2138</v>
      </c>
      <c r="J131" s="51">
        <f t="shared" si="19"/>
        <v>1918.5384</v>
      </c>
      <c r="K131" s="91">
        <f t="shared" si="20"/>
        <v>0.01650673945536915</v>
      </c>
    </row>
    <row r="132" spans="1:11" ht="66">
      <c r="A132" s="48" t="s">
        <v>235</v>
      </c>
      <c r="B132" s="49">
        <v>92984</v>
      </c>
      <c r="C132" s="49" t="s">
        <v>14</v>
      </c>
      <c r="D132" s="17" t="s">
        <v>233</v>
      </c>
      <c r="E132" s="49" t="s">
        <v>59</v>
      </c>
      <c r="F132" s="81">
        <v>34</v>
      </c>
      <c r="G132" s="81">
        <v>23.91</v>
      </c>
      <c r="H132" s="81">
        <f t="shared" si="17"/>
        <v>812.94</v>
      </c>
      <c r="I132" s="51">
        <f t="shared" si="18"/>
        <v>28.2138</v>
      </c>
      <c r="J132" s="51">
        <f t="shared" si="19"/>
        <v>959.2692</v>
      </c>
      <c r="K132" s="91">
        <f t="shared" si="20"/>
        <v>0.008253369727684576</v>
      </c>
    </row>
    <row r="133" spans="1:11" ht="52.5">
      <c r="A133" s="48" t="s">
        <v>237</v>
      </c>
      <c r="B133" s="49">
        <v>92982</v>
      </c>
      <c r="C133" s="49" t="s">
        <v>14</v>
      </c>
      <c r="D133" s="17" t="s">
        <v>425</v>
      </c>
      <c r="E133" s="49" t="s">
        <v>59</v>
      </c>
      <c r="F133" s="81">
        <v>34</v>
      </c>
      <c r="G133" s="81">
        <v>14.33</v>
      </c>
      <c r="H133" s="81">
        <f t="shared" si="17"/>
        <v>487.22</v>
      </c>
      <c r="I133" s="51">
        <f t="shared" si="18"/>
        <v>16.9094</v>
      </c>
      <c r="J133" s="51">
        <f t="shared" si="19"/>
        <v>574.9196000000001</v>
      </c>
      <c r="K133" s="91">
        <f t="shared" si="20"/>
        <v>0.004946498879034713</v>
      </c>
    </row>
    <row r="134" spans="1:11" ht="52.5">
      <c r="A134" s="48" t="s">
        <v>238</v>
      </c>
      <c r="B134" s="49">
        <v>97668</v>
      </c>
      <c r="C134" s="49" t="s">
        <v>14</v>
      </c>
      <c r="D134" s="17" t="s">
        <v>236</v>
      </c>
      <c r="E134" s="49" t="s">
        <v>59</v>
      </c>
      <c r="F134" s="81">
        <v>17</v>
      </c>
      <c r="G134" s="81">
        <v>15.76</v>
      </c>
      <c r="H134" s="81">
        <f t="shared" si="17"/>
        <v>267.92</v>
      </c>
      <c r="I134" s="51">
        <f t="shared" si="18"/>
        <v>18.5968</v>
      </c>
      <c r="J134" s="51">
        <f t="shared" si="19"/>
        <v>316.14560000000006</v>
      </c>
      <c r="K134" s="91">
        <f t="shared" si="20"/>
        <v>0.002720056606196339</v>
      </c>
    </row>
    <row r="135" spans="1:11" ht="52.5">
      <c r="A135" s="48" t="s">
        <v>239</v>
      </c>
      <c r="B135" s="49">
        <v>91850</v>
      </c>
      <c r="C135" s="49" t="s">
        <v>14</v>
      </c>
      <c r="D135" s="17" t="s">
        <v>426</v>
      </c>
      <c r="E135" s="49" t="s">
        <v>59</v>
      </c>
      <c r="F135" s="81">
        <v>8</v>
      </c>
      <c r="G135" s="81">
        <v>11.79</v>
      </c>
      <c r="H135" s="81">
        <f t="shared" si="17"/>
        <v>94.32</v>
      </c>
      <c r="I135" s="51">
        <f t="shared" si="18"/>
        <v>13.912199999999999</v>
      </c>
      <c r="J135" s="51">
        <f t="shared" si="19"/>
        <v>111.29759999999999</v>
      </c>
      <c r="K135" s="91">
        <f t="shared" si="20"/>
        <v>0.0009575833797269283</v>
      </c>
    </row>
    <row r="136" spans="1:11" ht="39">
      <c r="A136" s="48" t="s">
        <v>240</v>
      </c>
      <c r="B136" s="49">
        <v>91849</v>
      </c>
      <c r="C136" s="49" t="s">
        <v>14</v>
      </c>
      <c r="D136" s="17" t="s">
        <v>427</v>
      </c>
      <c r="E136" s="49" t="s">
        <v>59</v>
      </c>
      <c r="F136" s="81">
        <v>134</v>
      </c>
      <c r="G136" s="81">
        <v>7.49</v>
      </c>
      <c r="H136" s="81">
        <f t="shared" si="17"/>
        <v>1003.6600000000001</v>
      </c>
      <c r="I136" s="51">
        <f t="shared" si="18"/>
        <v>8.8382</v>
      </c>
      <c r="J136" s="51">
        <f t="shared" si="19"/>
        <v>1184.3188</v>
      </c>
      <c r="K136" s="91">
        <f aca="true" t="shared" si="21" ref="K136:K167">J136/$J$234</f>
        <v>0.010189653677870324</v>
      </c>
    </row>
    <row r="137" spans="1:11" ht="52.5">
      <c r="A137" s="48" t="s">
        <v>241</v>
      </c>
      <c r="B137" s="49">
        <v>91859</v>
      </c>
      <c r="C137" s="49" t="s">
        <v>14</v>
      </c>
      <c r="D137" s="17" t="s">
        <v>428</v>
      </c>
      <c r="E137" s="49" t="s">
        <v>59</v>
      </c>
      <c r="F137" s="81">
        <v>42</v>
      </c>
      <c r="G137" s="81">
        <v>9.95</v>
      </c>
      <c r="H137" s="81">
        <f t="shared" si="17"/>
        <v>417.9</v>
      </c>
      <c r="I137" s="51">
        <f t="shared" si="18"/>
        <v>11.741</v>
      </c>
      <c r="J137" s="51">
        <f t="shared" si="19"/>
        <v>493.12199999999996</v>
      </c>
      <c r="K137" s="91">
        <f t="shared" si="21"/>
        <v>0.00424272788791225</v>
      </c>
    </row>
    <row r="138" spans="1:11" ht="39">
      <c r="A138" s="48" t="s">
        <v>243</v>
      </c>
      <c r="B138" s="49">
        <v>93358</v>
      </c>
      <c r="C138" s="49" t="s">
        <v>14</v>
      </c>
      <c r="D138" s="17" t="s">
        <v>429</v>
      </c>
      <c r="E138" s="49" t="s">
        <v>71</v>
      </c>
      <c r="F138" s="81">
        <v>2.16</v>
      </c>
      <c r="G138" s="81">
        <v>78.31</v>
      </c>
      <c r="H138" s="81">
        <f t="shared" si="17"/>
        <v>169.14960000000002</v>
      </c>
      <c r="I138" s="51">
        <f t="shared" si="18"/>
        <v>92.4058</v>
      </c>
      <c r="J138" s="51">
        <f t="shared" si="19"/>
        <v>199.596528</v>
      </c>
      <c r="K138" s="91">
        <f t="shared" si="21"/>
        <v>0.0017172905602995977</v>
      </c>
    </row>
    <row r="139" spans="1:11" ht="26.25">
      <c r="A139" s="48" t="s">
        <v>245</v>
      </c>
      <c r="B139" s="49">
        <v>98307</v>
      </c>
      <c r="C139" s="49" t="s">
        <v>14</v>
      </c>
      <c r="D139" s="17" t="s">
        <v>242</v>
      </c>
      <c r="E139" s="49" t="s">
        <v>23</v>
      </c>
      <c r="F139" s="81">
        <v>2</v>
      </c>
      <c r="G139" s="81">
        <v>46.93</v>
      </c>
      <c r="H139" s="81">
        <f t="shared" si="17"/>
        <v>93.86</v>
      </c>
      <c r="I139" s="51">
        <f t="shared" si="18"/>
        <v>55.3774</v>
      </c>
      <c r="J139" s="51">
        <f t="shared" si="19"/>
        <v>110.7548</v>
      </c>
      <c r="K139" s="91">
        <f t="shared" si="21"/>
        <v>0.0009529132317766063</v>
      </c>
    </row>
    <row r="140" spans="1:11" ht="39">
      <c r="A140" s="48" t="s">
        <v>488</v>
      </c>
      <c r="B140" s="49">
        <v>98294</v>
      </c>
      <c r="C140" s="49" t="s">
        <v>14</v>
      </c>
      <c r="D140" s="17" t="s">
        <v>244</v>
      </c>
      <c r="E140" s="49" t="s">
        <v>59</v>
      </c>
      <c r="F140" s="81">
        <v>15</v>
      </c>
      <c r="G140" s="81">
        <v>6.22</v>
      </c>
      <c r="H140" s="81">
        <f t="shared" si="17"/>
        <v>93.3</v>
      </c>
      <c r="I140" s="51">
        <f t="shared" si="18"/>
        <v>7.3396</v>
      </c>
      <c r="J140" s="51">
        <f t="shared" si="19"/>
        <v>110.094</v>
      </c>
      <c r="K140" s="91">
        <f t="shared" si="21"/>
        <v>0.0009472278342718661</v>
      </c>
    </row>
    <row r="141" spans="1:11" ht="14.25">
      <c r="A141" s="41" t="s">
        <v>246</v>
      </c>
      <c r="B141" s="20"/>
      <c r="C141" s="20"/>
      <c r="D141" s="21" t="s">
        <v>247</v>
      </c>
      <c r="E141" s="22"/>
      <c r="F141" s="180"/>
      <c r="G141" s="181">
        <v>1</v>
      </c>
      <c r="H141" s="23">
        <f>H142+H143+H144+H145+H146+H147+H148+H149+H150+H151+H152+H153+H154+H155+H156+H157+H158+H159+H160+H161+H162+H163+H164+H165+H166+H167+H168+H169+H170+H171</f>
        <v>3060.7180000000008</v>
      </c>
      <c r="I141" s="182"/>
      <c r="J141" s="23">
        <f>J142+J143+J144+J145+J146+J147+J148+J149+J150+J151+J152+J153+J154+J155+J156+J157+J158+J159+J160+J161+J162+J163+J164+J165+J166+J167+J168+J169+J170+J171</f>
        <v>3611.6472400000002</v>
      </c>
      <c r="K141" s="96">
        <f t="shared" si="21"/>
        <v>0.03107392585698733</v>
      </c>
    </row>
    <row r="142" spans="1:11" ht="39">
      <c r="A142" s="48" t="s">
        <v>248</v>
      </c>
      <c r="B142" s="49">
        <v>89357</v>
      </c>
      <c r="C142" s="49" t="s">
        <v>14</v>
      </c>
      <c r="D142" s="17" t="s">
        <v>249</v>
      </c>
      <c r="E142" s="49" t="s">
        <v>59</v>
      </c>
      <c r="F142" s="81">
        <v>2</v>
      </c>
      <c r="G142" s="81">
        <v>31.98</v>
      </c>
      <c r="H142" s="81">
        <f t="shared" si="17"/>
        <v>63.96</v>
      </c>
      <c r="I142" s="51">
        <f t="shared" si="18"/>
        <v>37.7364</v>
      </c>
      <c r="J142" s="51">
        <f aca="true" t="shared" si="22" ref="J142:J167">F142*I142</f>
        <v>75.4728</v>
      </c>
      <c r="K142" s="91">
        <f t="shared" si="21"/>
        <v>0.0006493536150056653</v>
      </c>
    </row>
    <row r="143" spans="1:11" ht="39">
      <c r="A143" s="48" t="s">
        <v>250</v>
      </c>
      <c r="B143" s="49">
        <v>89356</v>
      </c>
      <c r="C143" s="49" t="s">
        <v>14</v>
      </c>
      <c r="D143" s="17" t="s">
        <v>251</v>
      </c>
      <c r="E143" s="49" t="s">
        <v>59</v>
      </c>
      <c r="F143" s="81">
        <v>25</v>
      </c>
      <c r="G143" s="81">
        <v>20.89</v>
      </c>
      <c r="H143" s="81">
        <f t="shared" si="17"/>
        <v>522.25</v>
      </c>
      <c r="I143" s="51">
        <f t="shared" si="18"/>
        <v>24.6502</v>
      </c>
      <c r="J143" s="51">
        <f t="shared" si="22"/>
        <v>616.255</v>
      </c>
      <c r="K143" s="91">
        <f t="shared" si="21"/>
        <v>0.00530214079794729</v>
      </c>
    </row>
    <row r="144" spans="1:11" ht="26.25">
      <c r="A144" s="48" t="s">
        <v>252</v>
      </c>
      <c r="B144" s="49">
        <v>102605</v>
      </c>
      <c r="C144" s="49" t="s">
        <v>14</v>
      </c>
      <c r="D144" s="17" t="s">
        <v>253</v>
      </c>
      <c r="E144" s="49" t="s">
        <v>23</v>
      </c>
      <c r="F144" s="81">
        <v>1</v>
      </c>
      <c r="G144" s="81">
        <v>262.97</v>
      </c>
      <c r="H144" s="81">
        <f t="shared" si="17"/>
        <v>262.97</v>
      </c>
      <c r="I144" s="51">
        <f t="shared" si="18"/>
        <v>310.30460000000005</v>
      </c>
      <c r="J144" s="51">
        <f t="shared" si="22"/>
        <v>310.30460000000005</v>
      </c>
      <c r="K144" s="91">
        <f t="shared" si="21"/>
        <v>0.002669801753252655</v>
      </c>
    </row>
    <row r="145" spans="1:11" ht="39">
      <c r="A145" s="48" t="s">
        <v>254</v>
      </c>
      <c r="B145" s="49">
        <v>89355</v>
      </c>
      <c r="C145" s="49" t="s">
        <v>14</v>
      </c>
      <c r="D145" s="17" t="s">
        <v>255</v>
      </c>
      <c r="E145" s="49" t="s">
        <v>59</v>
      </c>
      <c r="F145" s="81">
        <v>17</v>
      </c>
      <c r="G145" s="81">
        <v>18.11</v>
      </c>
      <c r="H145" s="81">
        <f t="shared" si="17"/>
        <v>307.87</v>
      </c>
      <c r="I145" s="51">
        <f t="shared" si="18"/>
        <v>21.369799999999998</v>
      </c>
      <c r="J145" s="51">
        <f t="shared" si="22"/>
        <v>363.28659999999996</v>
      </c>
      <c r="K145" s="91">
        <f t="shared" si="21"/>
        <v>0.003125648803186275</v>
      </c>
    </row>
    <row r="146" spans="1:11" ht="14.25">
      <c r="A146" s="48" t="s">
        <v>256</v>
      </c>
      <c r="B146" s="49">
        <v>94795</v>
      </c>
      <c r="C146" s="49" t="s">
        <v>14</v>
      </c>
      <c r="D146" s="17" t="s">
        <v>257</v>
      </c>
      <c r="E146" s="49" t="s">
        <v>23</v>
      </c>
      <c r="F146" s="81">
        <v>1</v>
      </c>
      <c r="G146" s="81">
        <v>65.15</v>
      </c>
      <c r="H146" s="81">
        <f t="shared" si="17"/>
        <v>65.15</v>
      </c>
      <c r="I146" s="51">
        <f t="shared" si="18"/>
        <v>76.87700000000001</v>
      </c>
      <c r="J146" s="51">
        <f t="shared" si="22"/>
        <v>76.87700000000001</v>
      </c>
      <c r="K146" s="91">
        <f t="shared" si="21"/>
        <v>0.0006614350847032378</v>
      </c>
    </row>
    <row r="147" spans="1:11" ht="66">
      <c r="A147" s="48" t="s">
        <v>258</v>
      </c>
      <c r="B147" s="49">
        <v>94703</v>
      </c>
      <c r="C147" s="49" t="s">
        <v>14</v>
      </c>
      <c r="D147" s="17" t="s">
        <v>259</v>
      </c>
      <c r="E147" s="49" t="s">
        <v>23</v>
      </c>
      <c r="F147" s="81">
        <v>3</v>
      </c>
      <c r="G147" s="81">
        <v>21.65</v>
      </c>
      <c r="H147" s="81">
        <f t="shared" si="17"/>
        <v>64.94999999999999</v>
      </c>
      <c r="I147" s="51">
        <f t="shared" si="18"/>
        <v>25.546999999999997</v>
      </c>
      <c r="J147" s="51">
        <f t="shared" si="22"/>
        <v>76.64099999999999</v>
      </c>
      <c r="K147" s="91">
        <f t="shared" si="21"/>
        <v>0.000659404585594402</v>
      </c>
    </row>
    <row r="148" spans="1:11" ht="66">
      <c r="A148" s="48" t="s">
        <v>260</v>
      </c>
      <c r="B148" s="49">
        <v>94704</v>
      </c>
      <c r="C148" s="49" t="s">
        <v>14</v>
      </c>
      <c r="D148" s="17" t="s">
        <v>261</v>
      </c>
      <c r="E148" s="49" t="s">
        <v>23</v>
      </c>
      <c r="F148" s="81">
        <v>2</v>
      </c>
      <c r="G148" s="81">
        <v>28.33</v>
      </c>
      <c r="H148" s="81">
        <f t="shared" si="17"/>
        <v>56.66</v>
      </c>
      <c r="I148" s="51">
        <f t="shared" si="18"/>
        <v>33.4294</v>
      </c>
      <c r="J148" s="51">
        <f t="shared" si="22"/>
        <v>66.8588</v>
      </c>
      <c r="K148" s="91">
        <f t="shared" si="21"/>
        <v>0.0005752403975331612</v>
      </c>
    </row>
    <row r="149" spans="1:11" ht="39">
      <c r="A149" s="48" t="s">
        <v>262</v>
      </c>
      <c r="B149" s="49">
        <v>94490</v>
      </c>
      <c r="C149" s="49" t="s">
        <v>14</v>
      </c>
      <c r="D149" s="17" t="s">
        <v>263</v>
      </c>
      <c r="E149" s="49" t="s">
        <v>23</v>
      </c>
      <c r="F149" s="81">
        <v>1</v>
      </c>
      <c r="G149" s="81">
        <v>59.2</v>
      </c>
      <c r="H149" s="81">
        <f t="shared" si="17"/>
        <v>59.2</v>
      </c>
      <c r="I149" s="51">
        <f t="shared" si="18"/>
        <v>69.85600000000001</v>
      </c>
      <c r="J149" s="51">
        <f t="shared" si="22"/>
        <v>69.85600000000001</v>
      </c>
      <c r="K149" s="91">
        <f t="shared" si="21"/>
        <v>0.000601027736215375</v>
      </c>
    </row>
    <row r="150" spans="1:11" ht="39">
      <c r="A150" s="48" t="s">
        <v>264</v>
      </c>
      <c r="B150" s="49">
        <v>94489</v>
      </c>
      <c r="C150" s="49" t="s">
        <v>14</v>
      </c>
      <c r="D150" s="17" t="s">
        <v>430</v>
      </c>
      <c r="E150" s="49" t="s">
        <v>23</v>
      </c>
      <c r="F150" s="81">
        <v>3</v>
      </c>
      <c r="G150" s="81">
        <v>39.3</v>
      </c>
      <c r="H150" s="81">
        <f t="shared" si="17"/>
        <v>117.89999999999999</v>
      </c>
      <c r="I150" s="51">
        <f t="shared" si="18"/>
        <v>46.373999999999995</v>
      </c>
      <c r="J150" s="51">
        <f t="shared" si="22"/>
        <v>139.12199999999999</v>
      </c>
      <c r="K150" s="91">
        <f t="shared" si="21"/>
        <v>0.0011969792246586605</v>
      </c>
    </row>
    <row r="151" spans="1:11" ht="52.5">
      <c r="A151" s="48" t="s">
        <v>265</v>
      </c>
      <c r="B151" s="49">
        <v>89970</v>
      </c>
      <c r="C151" s="49" t="s">
        <v>14</v>
      </c>
      <c r="D151" s="17" t="s">
        <v>431</v>
      </c>
      <c r="E151" s="49" t="s">
        <v>23</v>
      </c>
      <c r="F151" s="81">
        <v>1</v>
      </c>
      <c r="G151" s="81">
        <v>48.98</v>
      </c>
      <c r="H151" s="81">
        <f t="shared" si="17"/>
        <v>48.98</v>
      </c>
      <c r="I151" s="51">
        <f t="shared" si="18"/>
        <v>57.7964</v>
      </c>
      <c r="J151" s="51">
        <f t="shared" si="22"/>
        <v>57.7964</v>
      </c>
      <c r="K151" s="91">
        <f t="shared" si="21"/>
        <v>0.0004972692317538693</v>
      </c>
    </row>
    <row r="152" spans="1:11" ht="39">
      <c r="A152" s="48" t="s">
        <v>266</v>
      </c>
      <c r="B152" s="49">
        <v>89393</v>
      </c>
      <c r="C152" s="49" t="s">
        <v>14</v>
      </c>
      <c r="D152" s="17" t="s">
        <v>267</v>
      </c>
      <c r="E152" s="49" t="s">
        <v>23</v>
      </c>
      <c r="F152" s="81">
        <v>3</v>
      </c>
      <c r="G152" s="81">
        <v>10.78</v>
      </c>
      <c r="H152" s="81">
        <f t="shared" si="17"/>
        <v>32.339999999999996</v>
      </c>
      <c r="I152" s="51">
        <f t="shared" si="18"/>
        <v>12.7204</v>
      </c>
      <c r="J152" s="51">
        <f t="shared" si="22"/>
        <v>38.1612</v>
      </c>
      <c r="K152" s="91">
        <f t="shared" si="21"/>
        <v>0.00032833170589873694</v>
      </c>
    </row>
    <row r="153" spans="1:11" ht="39">
      <c r="A153" s="48" t="s">
        <v>268</v>
      </c>
      <c r="B153" s="49">
        <v>89395</v>
      </c>
      <c r="C153" s="49" t="s">
        <v>14</v>
      </c>
      <c r="D153" s="17" t="s">
        <v>269</v>
      </c>
      <c r="E153" s="49" t="s">
        <v>23</v>
      </c>
      <c r="F153" s="81">
        <v>5</v>
      </c>
      <c r="G153" s="81">
        <v>12.76</v>
      </c>
      <c r="H153" s="81">
        <f t="shared" si="17"/>
        <v>63.8</v>
      </c>
      <c r="I153" s="51">
        <f t="shared" si="18"/>
        <v>15.056799999999999</v>
      </c>
      <c r="J153" s="51">
        <f t="shared" si="22"/>
        <v>75.28399999999999</v>
      </c>
      <c r="K153" s="91">
        <f t="shared" si="21"/>
        <v>0.0006477292157185965</v>
      </c>
    </row>
    <row r="154" spans="1:11" ht="39">
      <c r="A154" s="48" t="s">
        <v>270</v>
      </c>
      <c r="B154" s="49">
        <v>89397</v>
      </c>
      <c r="C154" s="49" t="s">
        <v>14</v>
      </c>
      <c r="D154" s="17" t="s">
        <v>271</v>
      </c>
      <c r="E154" s="49" t="s">
        <v>23</v>
      </c>
      <c r="F154" s="81">
        <v>1</v>
      </c>
      <c r="G154" s="81">
        <v>14.67</v>
      </c>
      <c r="H154" s="81">
        <f t="shared" si="17"/>
        <v>14.67</v>
      </c>
      <c r="I154" s="51">
        <f t="shared" si="18"/>
        <v>17.3106</v>
      </c>
      <c r="J154" s="51">
        <f t="shared" si="22"/>
        <v>17.3106</v>
      </c>
      <c r="K154" s="91">
        <f t="shared" si="21"/>
        <v>0.0001489371096331005</v>
      </c>
    </row>
    <row r="155" spans="1:11" ht="39">
      <c r="A155" s="48" t="s">
        <v>272</v>
      </c>
      <c r="B155" s="49">
        <v>89400</v>
      </c>
      <c r="C155" s="49" t="s">
        <v>14</v>
      </c>
      <c r="D155" s="17" t="s">
        <v>432</v>
      </c>
      <c r="E155" s="49" t="s">
        <v>23</v>
      </c>
      <c r="F155" s="81">
        <v>1</v>
      </c>
      <c r="G155" s="81">
        <v>19.9</v>
      </c>
      <c r="H155" s="81">
        <f t="shared" si="17"/>
        <v>19.9</v>
      </c>
      <c r="I155" s="51">
        <f t="shared" si="18"/>
        <v>23.482</v>
      </c>
      <c r="J155" s="51">
        <f t="shared" si="22"/>
        <v>23.482</v>
      </c>
      <c r="K155" s="91">
        <f t="shared" si="21"/>
        <v>0.00020203466132915474</v>
      </c>
    </row>
    <row r="156" spans="1:11" ht="52.5">
      <c r="A156" s="48" t="s">
        <v>273</v>
      </c>
      <c r="B156" s="49">
        <v>103948</v>
      </c>
      <c r="C156" s="49" t="s">
        <v>14</v>
      </c>
      <c r="D156" s="17" t="s">
        <v>433</v>
      </c>
      <c r="E156" s="49" t="s">
        <v>23</v>
      </c>
      <c r="F156" s="81">
        <v>1</v>
      </c>
      <c r="G156" s="81">
        <v>7.72</v>
      </c>
      <c r="H156" s="81">
        <f t="shared" si="17"/>
        <v>7.72</v>
      </c>
      <c r="I156" s="51">
        <f t="shared" si="18"/>
        <v>9.1096</v>
      </c>
      <c r="J156" s="51">
        <f t="shared" si="22"/>
        <v>9.1096</v>
      </c>
      <c r="K156" s="91">
        <f t="shared" si="21"/>
        <v>7.837726560105903E-05</v>
      </c>
    </row>
    <row r="157" spans="1:11" ht="52.5">
      <c r="A157" s="48" t="s">
        <v>274</v>
      </c>
      <c r="B157" s="49">
        <v>103947</v>
      </c>
      <c r="C157" s="49" t="s">
        <v>14</v>
      </c>
      <c r="D157" s="17" t="s">
        <v>434</v>
      </c>
      <c r="E157" s="49" t="s">
        <v>23</v>
      </c>
      <c r="F157" s="81">
        <v>1</v>
      </c>
      <c r="G157" s="81">
        <v>6.17</v>
      </c>
      <c r="H157" s="81">
        <f t="shared" si="17"/>
        <v>6.17</v>
      </c>
      <c r="I157" s="51">
        <f t="shared" si="18"/>
        <v>7.2806</v>
      </c>
      <c r="J157" s="51">
        <f t="shared" si="22"/>
        <v>7.2806</v>
      </c>
      <c r="K157" s="91">
        <f t="shared" si="21"/>
        <v>6.264089750758215E-05</v>
      </c>
    </row>
    <row r="158" spans="1:11" ht="39">
      <c r="A158" s="48" t="s">
        <v>275</v>
      </c>
      <c r="B158" s="49">
        <v>89405</v>
      </c>
      <c r="C158" s="49" t="s">
        <v>14</v>
      </c>
      <c r="D158" s="17" t="s">
        <v>276</v>
      </c>
      <c r="E158" s="49" t="s">
        <v>23</v>
      </c>
      <c r="F158" s="81">
        <v>1</v>
      </c>
      <c r="G158" s="81">
        <v>7.67</v>
      </c>
      <c r="H158" s="81">
        <f t="shared" si="17"/>
        <v>7.67</v>
      </c>
      <c r="I158" s="51">
        <f t="shared" si="18"/>
        <v>9.0506</v>
      </c>
      <c r="J158" s="51">
        <f t="shared" si="22"/>
        <v>9.0506</v>
      </c>
      <c r="K158" s="91">
        <f t="shared" si="21"/>
        <v>7.786964082385009E-05</v>
      </c>
    </row>
    <row r="159" spans="1:11" ht="39">
      <c r="A159" s="48" t="s">
        <v>277</v>
      </c>
      <c r="B159" s="49">
        <v>89406</v>
      </c>
      <c r="C159" s="49" t="s">
        <v>14</v>
      </c>
      <c r="D159" s="17" t="s">
        <v>278</v>
      </c>
      <c r="E159" s="49" t="s">
        <v>23</v>
      </c>
      <c r="F159" s="81">
        <v>7</v>
      </c>
      <c r="G159" s="81">
        <v>8.72</v>
      </c>
      <c r="H159" s="81">
        <f t="shared" si="17"/>
        <v>61.040000000000006</v>
      </c>
      <c r="I159" s="51">
        <f t="shared" si="18"/>
        <v>10.2896</v>
      </c>
      <c r="J159" s="51">
        <f t="shared" si="22"/>
        <v>72.0272</v>
      </c>
      <c r="K159" s="91">
        <f t="shared" si="21"/>
        <v>0.0006197083280166636</v>
      </c>
    </row>
    <row r="160" spans="1:11" ht="39">
      <c r="A160" s="48" t="s">
        <v>279</v>
      </c>
      <c r="B160" s="49">
        <v>89408</v>
      </c>
      <c r="C160" s="49" t="s">
        <v>14</v>
      </c>
      <c r="D160" s="17" t="s">
        <v>280</v>
      </c>
      <c r="E160" s="49" t="s">
        <v>23</v>
      </c>
      <c r="F160" s="81">
        <v>13</v>
      </c>
      <c r="G160" s="81">
        <v>8.46</v>
      </c>
      <c r="H160" s="81">
        <f t="shared" si="17"/>
        <v>109.98000000000002</v>
      </c>
      <c r="I160" s="51">
        <f t="shared" si="18"/>
        <v>9.982800000000001</v>
      </c>
      <c r="J160" s="51">
        <f t="shared" si="22"/>
        <v>129.77640000000002</v>
      </c>
      <c r="K160" s="91">
        <f t="shared" si="21"/>
        <v>0.001116571459948766</v>
      </c>
    </row>
    <row r="161" spans="1:11" ht="39">
      <c r="A161" s="48" t="s">
        <v>281</v>
      </c>
      <c r="B161" s="49">
        <v>89413</v>
      </c>
      <c r="C161" s="49" t="s">
        <v>14</v>
      </c>
      <c r="D161" s="17" t="s">
        <v>282</v>
      </c>
      <c r="E161" s="49" t="s">
        <v>23</v>
      </c>
      <c r="F161" s="81">
        <v>3</v>
      </c>
      <c r="G161" s="81">
        <v>11.93</v>
      </c>
      <c r="H161" s="81">
        <f t="shared" si="17"/>
        <v>35.79</v>
      </c>
      <c r="I161" s="51">
        <f t="shared" si="18"/>
        <v>14.0774</v>
      </c>
      <c r="J161" s="51">
        <f t="shared" si="22"/>
        <v>42.232200000000006</v>
      </c>
      <c r="K161" s="91">
        <f t="shared" si="21"/>
        <v>0.00036335781552615325</v>
      </c>
    </row>
    <row r="162" spans="1:11" ht="52.5">
      <c r="A162" s="48" t="s">
        <v>283</v>
      </c>
      <c r="B162" s="49">
        <v>90373</v>
      </c>
      <c r="C162" s="49" t="s">
        <v>14</v>
      </c>
      <c r="D162" s="17" t="s">
        <v>435</v>
      </c>
      <c r="E162" s="49" t="s">
        <v>23</v>
      </c>
      <c r="F162" s="81">
        <v>1</v>
      </c>
      <c r="G162" s="81">
        <v>13.05</v>
      </c>
      <c r="H162" s="81">
        <f t="shared" si="17"/>
        <v>13.05</v>
      </c>
      <c r="I162" s="51">
        <f t="shared" si="18"/>
        <v>15.399000000000001</v>
      </c>
      <c r="J162" s="51">
        <f t="shared" si="22"/>
        <v>15.399000000000001</v>
      </c>
      <c r="K162" s="91">
        <f t="shared" si="21"/>
        <v>0.00013249006685153115</v>
      </c>
    </row>
    <row r="163" spans="1:11" ht="52.5">
      <c r="A163" s="48" t="s">
        <v>284</v>
      </c>
      <c r="B163" s="49">
        <v>89381</v>
      </c>
      <c r="C163" s="49" t="s">
        <v>14</v>
      </c>
      <c r="D163" s="17" t="s">
        <v>285</v>
      </c>
      <c r="E163" s="49" t="s">
        <v>23</v>
      </c>
      <c r="F163" s="81">
        <v>5</v>
      </c>
      <c r="G163" s="81">
        <v>12.59</v>
      </c>
      <c r="H163" s="81">
        <f t="shared" si="17"/>
        <v>62.95</v>
      </c>
      <c r="I163" s="51">
        <f t="shared" si="18"/>
        <v>14.8562</v>
      </c>
      <c r="J163" s="51">
        <f t="shared" si="22"/>
        <v>74.28099999999999</v>
      </c>
      <c r="K163" s="91">
        <f t="shared" si="21"/>
        <v>0.0006390995945060447</v>
      </c>
    </row>
    <row r="164" spans="1:11" ht="39">
      <c r="A164" s="48" t="s">
        <v>286</v>
      </c>
      <c r="B164" s="49">
        <v>89378</v>
      </c>
      <c r="C164" s="49" t="s">
        <v>14</v>
      </c>
      <c r="D164" s="17" t="s">
        <v>287</v>
      </c>
      <c r="E164" s="49" t="s">
        <v>23</v>
      </c>
      <c r="F164" s="81">
        <v>10</v>
      </c>
      <c r="G164" s="81">
        <v>6.91</v>
      </c>
      <c r="H164" s="81">
        <f t="shared" si="17"/>
        <v>69.1</v>
      </c>
      <c r="I164" s="51">
        <f t="shared" si="18"/>
        <v>8.1538</v>
      </c>
      <c r="J164" s="51">
        <f t="shared" si="22"/>
        <v>81.53800000000001</v>
      </c>
      <c r="K164" s="91">
        <f t="shared" si="21"/>
        <v>0.0007015374421027434</v>
      </c>
    </row>
    <row r="165" spans="1:11" ht="39">
      <c r="A165" s="48" t="s">
        <v>288</v>
      </c>
      <c r="B165" s="49">
        <v>90466</v>
      </c>
      <c r="C165" s="49" t="s">
        <v>14</v>
      </c>
      <c r="D165" s="17" t="s">
        <v>289</v>
      </c>
      <c r="E165" s="49" t="s">
        <v>59</v>
      </c>
      <c r="F165" s="81">
        <v>10.4</v>
      </c>
      <c r="G165" s="81">
        <v>13.02</v>
      </c>
      <c r="H165" s="81">
        <f t="shared" si="17"/>
        <v>135.408</v>
      </c>
      <c r="I165" s="51">
        <f t="shared" si="18"/>
        <v>15.3636</v>
      </c>
      <c r="J165" s="51">
        <f t="shared" si="22"/>
        <v>159.78144</v>
      </c>
      <c r="K165" s="91">
        <f t="shared" si="21"/>
        <v>0.0013747291166461401</v>
      </c>
    </row>
    <row r="166" spans="1:11" ht="52.5">
      <c r="A166" s="48" t="s">
        <v>290</v>
      </c>
      <c r="B166" s="49">
        <v>91179</v>
      </c>
      <c r="C166" s="49" t="s">
        <v>14</v>
      </c>
      <c r="D166" s="17" t="s">
        <v>291</v>
      </c>
      <c r="E166" s="49" t="s">
        <v>59</v>
      </c>
      <c r="F166" s="81">
        <v>11</v>
      </c>
      <c r="G166" s="81">
        <v>7.41</v>
      </c>
      <c r="H166" s="81">
        <f t="shared" si="17"/>
        <v>81.51</v>
      </c>
      <c r="I166" s="51">
        <f t="shared" si="18"/>
        <v>8.7438</v>
      </c>
      <c r="J166" s="51">
        <f t="shared" si="22"/>
        <v>96.18180000000001</v>
      </c>
      <c r="K166" s="91">
        <f t="shared" si="21"/>
        <v>0.0008275299118060003</v>
      </c>
    </row>
    <row r="167" spans="1:11" ht="52.5">
      <c r="A167" s="48" t="s">
        <v>292</v>
      </c>
      <c r="B167" s="49">
        <v>95634</v>
      </c>
      <c r="C167" s="49" t="s">
        <v>14</v>
      </c>
      <c r="D167" s="17" t="s">
        <v>293</v>
      </c>
      <c r="E167" s="49" t="s">
        <v>23</v>
      </c>
      <c r="F167" s="81">
        <v>1</v>
      </c>
      <c r="G167" s="81">
        <v>230.27</v>
      </c>
      <c r="H167" s="81">
        <f t="shared" si="17"/>
        <v>230.27</v>
      </c>
      <c r="I167" s="51">
        <f t="shared" si="18"/>
        <v>271.71860000000004</v>
      </c>
      <c r="J167" s="51">
        <f t="shared" si="22"/>
        <v>271.71860000000004</v>
      </c>
      <c r="K167" s="91">
        <f t="shared" si="21"/>
        <v>0.0023378151489580135</v>
      </c>
    </row>
    <row r="168" spans="1:11" ht="26.25">
      <c r="A168" s="48" t="s">
        <v>294</v>
      </c>
      <c r="B168" s="49">
        <v>95673</v>
      </c>
      <c r="C168" s="49" t="s">
        <v>14</v>
      </c>
      <c r="D168" s="17" t="s">
        <v>436</v>
      </c>
      <c r="E168" s="49" t="s">
        <v>23</v>
      </c>
      <c r="F168" s="81">
        <v>1</v>
      </c>
      <c r="G168" s="81">
        <v>165.63</v>
      </c>
      <c r="H168" s="81">
        <f aca="true" t="shared" si="23" ref="H168:H205">F168*G168</f>
        <v>165.63</v>
      </c>
      <c r="I168" s="51">
        <f aca="true" t="shared" si="24" ref="I168:I205">SUM(G168*18/100)+G168</f>
        <v>195.4434</v>
      </c>
      <c r="J168" s="51">
        <f aca="true" t="shared" si="25" ref="J168:J205">F168*I168</f>
        <v>195.4434</v>
      </c>
      <c r="K168" s="91">
        <f aca="true" t="shared" si="26" ref="K168:K199">J168/$J$234</f>
        <v>0.0016815578369823066</v>
      </c>
    </row>
    <row r="169" spans="1:11" ht="39">
      <c r="A169" s="48" t="s">
        <v>295</v>
      </c>
      <c r="B169" s="49">
        <v>95676</v>
      </c>
      <c r="C169" s="49" t="s">
        <v>14</v>
      </c>
      <c r="D169" s="17" t="s">
        <v>296</v>
      </c>
      <c r="E169" s="49" t="s">
        <v>23</v>
      </c>
      <c r="F169" s="81">
        <v>1</v>
      </c>
      <c r="G169" s="81">
        <v>113</v>
      </c>
      <c r="H169" s="81">
        <f t="shared" si="23"/>
        <v>113</v>
      </c>
      <c r="I169" s="51">
        <f t="shared" si="24"/>
        <v>133.34</v>
      </c>
      <c r="J169" s="51">
        <f t="shared" si="25"/>
        <v>133.34</v>
      </c>
      <c r="K169" s="91">
        <f t="shared" si="26"/>
        <v>0.0011472319964921853</v>
      </c>
    </row>
    <row r="170" spans="1:11" ht="26.25">
      <c r="A170" s="48" t="s">
        <v>297</v>
      </c>
      <c r="B170" s="49">
        <v>1185</v>
      </c>
      <c r="C170" s="49" t="s">
        <v>14</v>
      </c>
      <c r="D170" s="17" t="s">
        <v>298</v>
      </c>
      <c r="E170" s="49" t="s">
        <v>23</v>
      </c>
      <c r="F170" s="81">
        <v>6</v>
      </c>
      <c r="G170" s="81">
        <v>1.34</v>
      </c>
      <c r="H170" s="81">
        <f t="shared" si="23"/>
        <v>8.040000000000001</v>
      </c>
      <c r="I170" s="51">
        <f t="shared" si="24"/>
        <v>1.5812000000000002</v>
      </c>
      <c r="J170" s="51">
        <f t="shared" si="25"/>
        <v>9.487200000000001</v>
      </c>
      <c r="K170" s="91">
        <f t="shared" si="26"/>
        <v>8.16260641751962E-05</v>
      </c>
    </row>
    <row r="171" spans="1:11" ht="26.25">
      <c r="A171" s="48" t="s">
        <v>299</v>
      </c>
      <c r="B171" s="49">
        <v>80001</v>
      </c>
      <c r="C171" s="49" t="s">
        <v>100</v>
      </c>
      <c r="D171" s="17" t="s">
        <v>300</v>
      </c>
      <c r="E171" s="49" t="s">
        <v>23</v>
      </c>
      <c r="F171" s="81">
        <v>1</v>
      </c>
      <c r="G171" s="81">
        <v>252.79</v>
      </c>
      <c r="H171" s="81">
        <f t="shared" si="23"/>
        <v>252.79</v>
      </c>
      <c r="I171" s="51">
        <f t="shared" si="24"/>
        <v>298.2922</v>
      </c>
      <c r="J171" s="51">
        <f t="shared" si="25"/>
        <v>298.2922</v>
      </c>
      <c r="K171" s="91">
        <f t="shared" si="26"/>
        <v>0.002566449348612916</v>
      </c>
    </row>
    <row r="172" spans="1:11" ht="14.25">
      <c r="A172" s="39" t="s">
        <v>301</v>
      </c>
      <c r="B172" s="4"/>
      <c r="C172" s="4"/>
      <c r="D172" s="3" t="s">
        <v>302</v>
      </c>
      <c r="E172" s="5"/>
      <c r="F172" s="177"/>
      <c r="G172" s="178">
        <v>1</v>
      </c>
      <c r="H172" s="6">
        <f>SUM(H173:H196)</f>
        <v>8007.0807</v>
      </c>
      <c r="I172" s="179"/>
      <c r="J172" s="6">
        <f>SUM(J173:J196)</f>
        <v>9448.355226</v>
      </c>
      <c r="K172" s="95">
        <f t="shared" si="26"/>
        <v>0.0812918511286287</v>
      </c>
    </row>
    <row r="173" spans="1:13" ht="52.5">
      <c r="A173" s="48" t="s">
        <v>303</v>
      </c>
      <c r="B173" s="49">
        <v>89714</v>
      </c>
      <c r="C173" s="49" t="s">
        <v>14</v>
      </c>
      <c r="D173" s="17" t="s">
        <v>437</v>
      </c>
      <c r="E173" s="49" t="s">
        <v>59</v>
      </c>
      <c r="F173" s="81">
        <v>16</v>
      </c>
      <c r="G173" s="81">
        <v>33.45</v>
      </c>
      <c r="H173" s="81">
        <f t="shared" si="23"/>
        <v>535.2</v>
      </c>
      <c r="I173" s="51">
        <f t="shared" si="24"/>
        <v>39.471000000000004</v>
      </c>
      <c r="J173" s="51">
        <f t="shared" si="25"/>
        <v>631.5360000000001</v>
      </c>
      <c r="K173" s="91">
        <f t="shared" si="26"/>
        <v>0.005433615615244403</v>
      </c>
      <c r="M173">
        <f>F173*1.084</f>
        <v>17.344</v>
      </c>
    </row>
    <row r="174" spans="1:13" ht="52.5">
      <c r="A174" s="48" t="s">
        <v>304</v>
      </c>
      <c r="B174" s="49">
        <v>89712</v>
      </c>
      <c r="C174" s="49" t="s">
        <v>14</v>
      </c>
      <c r="D174" s="17" t="s">
        <v>438</v>
      </c>
      <c r="E174" s="49" t="s">
        <v>59</v>
      </c>
      <c r="F174" s="81">
        <v>13</v>
      </c>
      <c r="G174" s="81">
        <v>24.01</v>
      </c>
      <c r="H174" s="81">
        <f t="shared" si="23"/>
        <v>312.13</v>
      </c>
      <c r="I174" s="51">
        <f t="shared" si="24"/>
        <v>28.3318</v>
      </c>
      <c r="J174" s="51">
        <f t="shared" si="25"/>
        <v>368.3134</v>
      </c>
      <c r="K174" s="91">
        <f t="shared" si="26"/>
        <v>0.003168898434204476</v>
      </c>
      <c r="M174">
        <f>F174*1.084</f>
        <v>14.092</v>
      </c>
    </row>
    <row r="175" spans="1:13" ht="52.5">
      <c r="A175" s="48" t="s">
        <v>305</v>
      </c>
      <c r="B175" s="49">
        <v>89711</v>
      </c>
      <c r="C175" s="49" t="s">
        <v>14</v>
      </c>
      <c r="D175" s="17" t="s">
        <v>306</v>
      </c>
      <c r="E175" s="49" t="s">
        <v>59</v>
      </c>
      <c r="F175" s="81">
        <v>9</v>
      </c>
      <c r="G175" s="81">
        <v>18.85</v>
      </c>
      <c r="H175" s="81">
        <f t="shared" si="23"/>
        <v>169.65</v>
      </c>
      <c r="I175" s="51">
        <f t="shared" si="24"/>
        <v>22.243000000000002</v>
      </c>
      <c r="J175" s="51">
        <f t="shared" si="25"/>
        <v>200.187</v>
      </c>
      <c r="K175" s="91">
        <f t="shared" si="26"/>
        <v>0.0017223708690699048</v>
      </c>
      <c r="M175">
        <f>F175*1.084</f>
        <v>9.756</v>
      </c>
    </row>
    <row r="176" spans="1:11" ht="66">
      <c r="A176" s="48" t="s">
        <v>307</v>
      </c>
      <c r="B176" s="49">
        <v>89744</v>
      </c>
      <c r="C176" s="49" t="s">
        <v>14</v>
      </c>
      <c r="D176" s="17" t="s">
        <v>308</v>
      </c>
      <c r="E176" s="49" t="s">
        <v>23</v>
      </c>
      <c r="F176" s="81">
        <v>1</v>
      </c>
      <c r="G176" s="81">
        <v>24.62</v>
      </c>
      <c r="H176" s="81">
        <f t="shared" si="23"/>
        <v>24.62</v>
      </c>
      <c r="I176" s="51">
        <f t="shared" si="24"/>
        <v>29.0516</v>
      </c>
      <c r="J176" s="51">
        <f t="shared" si="25"/>
        <v>29.0516</v>
      </c>
      <c r="K176" s="91">
        <f t="shared" si="26"/>
        <v>0.0002499544402976779</v>
      </c>
    </row>
    <row r="177" spans="1:11" ht="66">
      <c r="A177" s="48" t="s">
        <v>309</v>
      </c>
      <c r="B177" s="49">
        <v>89778</v>
      </c>
      <c r="C177" s="49" t="s">
        <v>14</v>
      </c>
      <c r="D177" s="17" t="s">
        <v>310</v>
      </c>
      <c r="E177" s="49" t="s">
        <v>23</v>
      </c>
      <c r="F177" s="81">
        <v>4</v>
      </c>
      <c r="G177" s="81">
        <v>16.16</v>
      </c>
      <c r="H177" s="81">
        <f t="shared" si="23"/>
        <v>64.64</v>
      </c>
      <c r="I177" s="51">
        <f t="shared" si="24"/>
        <v>19.0688</v>
      </c>
      <c r="J177" s="51">
        <f t="shared" si="25"/>
        <v>76.2752</v>
      </c>
      <c r="K177" s="91">
        <f t="shared" si="26"/>
        <v>0.0006562573119757067</v>
      </c>
    </row>
    <row r="178" spans="1:11" ht="66">
      <c r="A178" s="48" t="s">
        <v>311</v>
      </c>
      <c r="B178" s="49">
        <v>89785</v>
      </c>
      <c r="C178" s="49" t="s">
        <v>14</v>
      </c>
      <c r="D178" s="17" t="s">
        <v>312</v>
      </c>
      <c r="E178" s="49" t="s">
        <v>23</v>
      </c>
      <c r="F178" s="81">
        <v>1</v>
      </c>
      <c r="G178" s="81">
        <v>26.69</v>
      </c>
      <c r="H178" s="81">
        <f t="shared" si="23"/>
        <v>26.69</v>
      </c>
      <c r="I178" s="51">
        <f t="shared" si="24"/>
        <v>31.4942</v>
      </c>
      <c r="J178" s="51">
        <f t="shared" si="25"/>
        <v>31.4942</v>
      </c>
      <c r="K178" s="91">
        <f t="shared" si="26"/>
        <v>0.00027097010607412766</v>
      </c>
    </row>
    <row r="179" spans="1:11" ht="52.5">
      <c r="A179" s="48" t="s">
        <v>313</v>
      </c>
      <c r="B179" s="49">
        <v>89825</v>
      </c>
      <c r="C179" s="49" t="s">
        <v>14</v>
      </c>
      <c r="D179" s="17" t="s">
        <v>439</v>
      </c>
      <c r="E179" s="49" t="s">
        <v>23</v>
      </c>
      <c r="F179" s="81">
        <v>1</v>
      </c>
      <c r="G179" s="81">
        <v>17.55</v>
      </c>
      <c r="H179" s="81">
        <f t="shared" si="23"/>
        <v>17.55</v>
      </c>
      <c r="I179" s="51">
        <f t="shared" si="24"/>
        <v>20.709</v>
      </c>
      <c r="J179" s="51">
        <f t="shared" si="25"/>
        <v>20.709</v>
      </c>
      <c r="K179" s="91">
        <f t="shared" si="26"/>
        <v>0.00017817629680033496</v>
      </c>
    </row>
    <row r="180" spans="1:11" ht="52.5">
      <c r="A180" s="48" t="s">
        <v>314</v>
      </c>
      <c r="B180" s="49">
        <v>104348</v>
      </c>
      <c r="C180" s="49" t="s">
        <v>14</v>
      </c>
      <c r="D180" s="17" t="s">
        <v>315</v>
      </c>
      <c r="E180" s="49" t="s">
        <v>23</v>
      </c>
      <c r="F180" s="81">
        <v>1</v>
      </c>
      <c r="G180" s="81">
        <v>11.86</v>
      </c>
      <c r="H180" s="81">
        <f t="shared" si="23"/>
        <v>11.86</v>
      </c>
      <c r="I180" s="51">
        <f t="shared" si="24"/>
        <v>13.9948</v>
      </c>
      <c r="J180" s="51">
        <f t="shared" si="25"/>
        <v>13.9948</v>
      </c>
      <c r="K180" s="91">
        <f t="shared" si="26"/>
        <v>0.00012040859715395855</v>
      </c>
    </row>
    <row r="181" spans="1:11" ht="52.5">
      <c r="A181" s="48" t="s">
        <v>316</v>
      </c>
      <c r="B181" s="49">
        <v>89731</v>
      </c>
      <c r="C181" s="49" t="s">
        <v>14</v>
      </c>
      <c r="D181" s="19" t="s">
        <v>317</v>
      </c>
      <c r="E181" s="49" t="s">
        <v>23</v>
      </c>
      <c r="F181" s="81">
        <v>4</v>
      </c>
      <c r="G181" s="81">
        <v>14.69</v>
      </c>
      <c r="H181" s="81">
        <f t="shared" si="23"/>
        <v>58.76</v>
      </c>
      <c r="I181" s="51">
        <f t="shared" si="24"/>
        <v>17.3342</v>
      </c>
      <c r="J181" s="51">
        <f t="shared" si="25"/>
        <v>69.3368</v>
      </c>
      <c r="K181" s="91">
        <f t="shared" si="26"/>
        <v>0.0005965606381759364</v>
      </c>
    </row>
    <row r="182" spans="1:11" ht="52.5">
      <c r="A182" s="48" t="s">
        <v>318</v>
      </c>
      <c r="B182" s="49">
        <v>89732</v>
      </c>
      <c r="C182" s="49" t="s">
        <v>14</v>
      </c>
      <c r="D182" s="19" t="s">
        <v>319</v>
      </c>
      <c r="E182" s="49" t="s">
        <v>23</v>
      </c>
      <c r="F182" s="81">
        <v>2</v>
      </c>
      <c r="G182" s="81">
        <v>15.49</v>
      </c>
      <c r="H182" s="81">
        <f t="shared" si="23"/>
        <v>30.98</v>
      </c>
      <c r="I182" s="51">
        <f t="shared" si="24"/>
        <v>18.2782</v>
      </c>
      <c r="J182" s="51">
        <f t="shared" si="25"/>
        <v>36.5564</v>
      </c>
      <c r="K182" s="91">
        <f t="shared" si="26"/>
        <v>0.00031452431195865395</v>
      </c>
    </row>
    <row r="183" spans="1:11" ht="52.5">
      <c r="A183" s="48" t="s">
        <v>320</v>
      </c>
      <c r="B183" s="49">
        <v>89753</v>
      </c>
      <c r="C183" s="49" t="s">
        <v>14</v>
      </c>
      <c r="D183" s="17" t="s">
        <v>321</v>
      </c>
      <c r="E183" s="49" t="s">
        <v>23</v>
      </c>
      <c r="F183" s="81">
        <v>7</v>
      </c>
      <c r="G183" s="81">
        <v>9.44</v>
      </c>
      <c r="H183" s="81">
        <f t="shared" si="23"/>
        <v>66.08</v>
      </c>
      <c r="I183" s="51">
        <f t="shared" si="24"/>
        <v>11.139199999999999</v>
      </c>
      <c r="J183" s="51">
        <f t="shared" si="25"/>
        <v>77.97439999999999</v>
      </c>
      <c r="K183" s="91">
        <f t="shared" si="26"/>
        <v>0.0006708769055593239</v>
      </c>
    </row>
    <row r="184" spans="1:11" ht="66">
      <c r="A184" s="48" t="s">
        <v>322</v>
      </c>
      <c r="B184" s="49">
        <v>89724</v>
      </c>
      <c r="C184" s="49" t="s">
        <v>14</v>
      </c>
      <c r="D184" s="17" t="s">
        <v>323</v>
      </c>
      <c r="E184" s="49" t="s">
        <v>23</v>
      </c>
      <c r="F184" s="81">
        <v>4</v>
      </c>
      <c r="G184" s="81">
        <v>10.23</v>
      </c>
      <c r="H184" s="81">
        <f t="shared" si="23"/>
        <v>40.92</v>
      </c>
      <c r="I184" s="51">
        <f t="shared" si="24"/>
        <v>12.0714</v>
      </c>
      <c r="J184" s="51">
        <f t="shared" si="25"/>
        <v>48.2856</v>
      </c>
      <c r="K184" s="91">
        <f t="shared" si="26"/>
        <v>0.00041544011766778957</v>
      </c>
    </row>
    <row r="185" spans="1:11" ht="66">
      <c r="A185" s="48" t="s">
        <v>324</v>
      </c>
      <c r="B185" s="49">
        <v>89726</v>
      </c>
      <c r="C185" s="49" t="s">
        <v>14</v>
      </c>
      <c r="D185" s="17" t="s">
        <v>325</v>
      </c>
      <c r="E185" s="49" t="s">
        <v>23</v>
      </c>
      <c r="F185" s="81">
        <v>2</v>
      </c>
      <c r="G185" s="81">
        <v>10.48</v>
      </c>
      <c r="H185" s="81">
        <f t="shared" si="23"/>
        <v>20.96</v>
      </c>
      <c r="I185" s="51">
        <f t="shared" si="24"/>
        <v>12.3664</v>
      </c>
      <c r="J185" s="51">
        <f t="shared" si="25"/>
        <v>24.7328</v>
      </c>
      <c r="K185" s="91">
        <f t="shared" si="26"/>
        <v>0.0002127963066059841</v>
      </c>
    </row>
    <row r="186" spans="1:11" ht="66">
      <c r="A186" s="48" t="s">
        <v>326</v>
      </c>
      <c r="B186" s="49">
        <v>89752</v>
      </c>
      <c r="C186" s="49" t="s">
        <v>14</v>
      </c>
      <c r="D186" s="17" t="s">
        <v>327</v>
      </c>
      <c r="E186" s="49" t="s">
        <v>23</v>
      </c>
      <c r="F186" s="81">
        <v>1</v>
      </c>
      <c r="G186" s="81">
        <v>7.65</v>
      </c>
      <c r="H186" s="81">
        <f t="shared" si="23"/>
        <v>7.65</v>
      </c>
      <c r="I186" s="51">
        <f t="shared" si="24"/>
        <v>9.027000000000001</v>
      </c>
      <c r="J186" s="51">
        <f t="shared" si="25"/>
        <v>9.027000000000001</v>
      </c>
      <c r="K186" s="91">
        <f t="shared" si="26"/>
        <v>7.766659091296653E-05</v>
      </c>
    </row>
    <row r="187" spans="1:11" ht="66">
      <c r="A187" s="48" t="s">
        <v>328</v>
      </c>
      <c r="B187" s="49">
        <v>104328</v>
      </c>
      <c r="C187" s="49" t="s">
        <v>14</v>
      </c>
      <c r="D187" s="17" t="s">
        <v>329</v>
      </c>
      <c r="E187" s="49" t="s">
        <v>23</v>
      </c>
      <c r="F187" s="81">
        <v>1</v>
      </c>
      <c r="G187" s="81">
        <v>67.97</v>
      </c>
      <c r="H187" s="81">
        <f t="shared" si="23"/>
        <v>67.97</v>
      </c>
      <c r="I187" s="51">
        <f t="shared" si="24"/>
        <v>80.2046</v>
      </c>
      <c r="J187" s="51">
        <f t="shared" si="25"/>
        <v>80.2046</v>
      </c>
      <c r="K187" s="91">
        <f t="shared" si="26"/>
        <v>0.0006900651221378215</v>
      </c>
    </row>
    <row r="188" spans="1:11" ht="52.5">
      <c r="A188" s="48" t="s">
        <v>330</v>
      </c>
      <c r="B188" s="49">
        <v>89707</v>
      </c>
      <c r="C188" s="49" t="s">
        <v>14</v>
      </c>
      <c r="D188" s="17" t="s">
        <v>440</v>
      </c>
      <c r="E188" s="49" t="s">
        <v>23</v>
      </c>
      <c r="F188" s="81">
        <v>1</v>
      </c>
      <c r="G188" s="81">
        <v>47.14</v>
      </c>
      <c r="H188" s="81">
        <f t="shared" si="23"/>
        <v>47.14</v>
      </c>
      <c r="I188" s="51">
        <f t="shared" si="24"/>
        <v>55.6252</v>
      </c>
      <c r="J188" s="51">
        <f t="shared" si="25"/>
        <v>55.6252</v>
      </c>
      <c r="K188" s="91">
        <f t="shared" si="26"/>
        <v>0.0004785886399525806</v>
      </c>
    </row>
    <row r="189" spans="1:11" ht="39">
      <c r="A189" s="48" t="s">
        <v>331</v>
      </c>
      <c r="B189" s="49">
        <v>98110</v>
      </c>
      <c r="C189" s="49" t="s">
        <v>14</v>
      </c>
      <c r="D189" s="17" t="s">
        <v>441</v>
      </c>
      <c r="E189" s="49" t="s">
        <v>23</v>
      </c>
      <c r="F189" s="81">
        <v>1</v>
      </c>
      <c r="G189" s="81">
        <v>338.22</v>
      </c>
      <c r="H189" s="81">
        <f t="shared" si="23"/>
        <v>338.22</v>
      </c>
      <c r="I189" s="51">
        <f t="shared" si="24"/>
        <v>399.0996</v>
      </c>
      <c r="J189" s="51">
        <f t="shared" si="25"/>
        <v>399.0996</v>
      </c>
      <c r="K189" s="91">
        <f t="shared" si="26"/>
        <v>0.0034337770429520966</v>
      </c>
    </row>
    <row r="190" spans="1:11" ht="39">
      <c r="A190" s="48" t="s">
        <v>332</v>
      </c>
      <c r="B190" s="49">
        <v>97897</v>
      </c>
      <c r="C190" s="49" t="s">
        <v>14</v>
      </c>
      <c r="D190" s="17" t="s">
        <v>333</v>
      </c>
      <c r="E190" s="49" t="s">
        <v>23</v>
      </c>
      <c r="F190" s="81">
        <v>3</v>
      </c>
      <c r="G190" s="81">
        <v>385.83</v>
      </c>
      <c r="H190" s="81">
        <f t="shared" si="23"/>
        <v>1157.49</v>
      </c>
      <c r="I190" s="51">
        <f t="shared" si="24"/>
        <v>455.2794</v>
      </c>
      <c r="J190" s="51">
        <f t="shared" si="25"/>
        <v>1365.8382000000001</v>
      </c>
      <c r="K190" s="91">
        <f t="shared" si="26"/>
        <v>0.011751412067431324</v>
      </c>
    </row>
    <row r="191" spans="1:11" ht="39">
      <c r="A191" s="48" t="s">
        <v>334</v>
      </c>
      <c r="B191" s="49">
        <v>93358</v>
      </c>
      <c r="C191" s="49" t="s">
        <v>14</v>
      </c>
      <c r="D191" s="17" t="s">
        <v>429</v>
      </c>
      <c r="E191" s="49" t="s">
        <v>71</v>
      </c>
      <c r="F191" s="81">
        <v>2.73</v>
      </c>
      <c r="G191" s="81">
        <v>78.31</v>
      </c>
      <c r="H191" s="81">
        <f t="shared" si="23"/>
        <v>213.7863</v>
      </c>
      <c r="I191" s="51">
        <f t="shared" si="24"/>
        <v>92.4058</v>
      </c>
      <c r="J191" s="51">
        <f t="shared" si="25"/>
        <v>252.267834</v>
      </c>
      <c r="K191" s="91">
        <f t="shared" si="26"/>
        <v>0.002170464458156436</v>
      </c>
    </row>
    <row r="192" spans="1:11" ht="39">
      <c r="A192" s="48" t="s">
        <v>335</v>
      </c>
      <c r="B192" s="49">
        <v>101618</v>
      </c>
      <c r="C192" s="49" t="s">
        <v>14</v>
      </c>
      <c r="D192" s="17" t="s">
        <v>336</v>
      </c>
      <c r="E192" s="49" t="s">
        <v>71</v>
      </c>
      <c r="F192" s="81">
        <v>0.65</v>
      </c>
      <c r="G192" s="81">
        <v>199.84</v>
      </c>
      <c r="H192" s="81">
        <f t="shared" si="23"/>
        <v>129.89600000000002</v>
      </c>
      <c r="I192" s="51">
        <f t="shared" si="24"/>
        <v>235.81119999999999</v>
      </c>
      <c r="J192" s="51">
        <f t="shared" si="25"/>
        <v>153.27728</v>
      </c>
      <c r="K192" s="91">
        <f t="shared" si="26"/>
        <v>0.0013187685612066273</v>
      </c>
    </row>
    <row r="193" spans="1:11" ht="23.25" customHeight="1">
      <c r="A193" s="48" t="s">
        <v>337</v>
      </c>
      <c r="B193" s="49">
        <v>96995</v>
      </c>
      <c r="C193" s="49" t="s">
        <v>14</v>
      </c>
      <c r="D193" s="17" t="s">
        <v>338</v>
      </c>
      <c r="E193" s="49" t="s">
        <v>71</v>
      </c>
      <c r="F193" s="81">
        <v>2.08</v>
      </c>
      <c r="G193" s="81">
        <v>47.48</v>
      </c>
      <c r="H193" s="81">
        <f t="shared" si="23"/>
        <v>98.7584</v>
      </c>
      <c r="I193" s="51">
        <f t="shared" si="24"/>
        <v>56.026399999999995</v>
      </c>
      <c r="J193" s="51">
        <f t="shared" si="25"/>
        <v>116.53491199999999</v>
      </c>
      <c r="K193" s="91">
        <f t="shared" si="26"/>
        <v>0.0010026442159502109</v>
      </c>
    </row>
    <row r="194" spans="1:11" ht="48" customHeight="1">
      <c r="A194" s="48" t="s">
        <v>339</v>
      </c>
      <c r="B194" s="49">
        <v>70001</v>
      </c>
      <c r="C194" s="49" t="s">
        <v>100</v>
      </c>
      <c r="D194" s="17" t="s">
        <v>340</v>
      </c>
      <c r="E194" s="49" t="s">
        <v>23</v>
      </c>
      <c r="F194" s="81">
        <v>1</v>
      </c>
      <c r="G194" s="81">
        <v>37.57</v>
      </c>
      <c r="H194" s="81">
        <f t="shared" si="23"/>
        <v>37.57</v>
      </c>
      <c r="I194" s="51">
        <f t="shared" si="24"/>
        <v>44.3326</v>
      </c>
      <c r="J194" s="51">
        <f t="shared" si="25"/>
        <v>44.3326</v>
      </c>
      <c r="K194" s="91">
        <f t="shared" si="26"/>
        <v>0.00038142925759479117</v>
      </c>
    </row>
    <row r="195" spans="1:11" ht="52.5">
      <c r="A195" s="48" t="s">
        <v>483</v>
      </c>
      <c r="B195" s="49">
        <v>98052</v>
      </c>
      <c r="C195" s="49" t="s">
        <v>14</v>
      </c>
      <c r="D195" s="17" t="s">
        <v>485</v>
      </c>
      <c r="E195" s="49" t="s">
        <v>23</v>
      </c>
      <c r="F195" s="81">
        <v>1</v>
      </c>
      <c r="G195" s="81">
        <v>1816.32</v>
      </c>
      <c r="H195" s="81">
        <f t="shared" si="23"/>
        <v>1816.32</v>
      </c>
      <c r="I195" s="51">
        <f t="shared" si="24"/>
        <v>2143.2576</v>
      </c>
      <c r="J195" s="51">
        <f t="shared" si="25"/>
        <v>2143.2576</v>
      </c>
      <c r="K195" s="91">
        <f t="shared" si="26"/>
        <v>0.01844018070680253</v>
      </c>
    </row>
    <row r="196" spans="1:11" ht="54.75" customHeight="1">
      <c r="A196" s="48" t="s">
        <v>484</v>
      </c>
      <c r="B196" s="49">
        <v>98062</v>
      </c>
      <c r="C196" s="49" t="s">
        <v>14</v>
      </c>
      <c r="D196" s="17" t="s">
        <v>486</v>
      </c>
      <c r="E196" s="49" t="s">
        <v>23</v>
      </c>
      <c r="F196" s="81">
        <v>1</v>
      </c>
      <c r="G196" s="81">
        <v>2712.24</v>
      </c>
      <c r="H196" s="81">
        <f t="shared" si="23"/>
        <v>2712.24</v>
      </c>
      <c r="I196" s="51">
        <f t="shared" si="24"/>
        <v>3200.4431999999997</v>
      </c>
      <c r="J196" s="51">
        <f t="shared" si="25"/>
        <v>3200.4431999999997</v>
      </c>
      <c r="K196" s="91">
        <f t="shared" si="26"/>
        <v>0.027536004514743046</v>
      </c>
    </row>
    <row r="197" spans="1:11" ht="14.25">
      <c r="A197" s="39" t="s">
        <v>341</v>
      </c>
      <c r="B197" s="4"/>
      <c r="C197" s="4"/>
      <c r="D197" s="3" t="s">
        <v>342</v>
      </c>
      <c r="E197" s="5"/>
      <c r="F197" s="177"/>
      <c r="G197" s="178">
        <v>1</v>
      </c>
      <c r="H197" s="6">
        <f>H198+H199+H200+H201+H202+H203+H204+H205</f>
        <v>2301.18</v>
      </c>
      <c r="I197" s="179"/>
      <c r="J197" s="6">
        <f>J198+J199+J200+J201+J202+J203+J204+J205</f>
        <v>2715.3924</v>
      </c>
      <c r="K197" s="95">
        <f t="shared" si="26"/>
        <v>0.023362719696352983</v>
      </c>
    </row>
    <row r="198" spans="1:11" ht="52.5">
      <c r="A198" s="48" t="s">
        <v>343</v>
      </c>
      <c r="B198" s="49">
        <v>86931</v>
      </c>
      <c r="C198" s="49" t="s">
        <v>14</v>
      </c>
      <c r="D198" s="17" t="s">
        <v>344</v>
      </c>
      <c r="E198" s="49" t="s">
        <v>23</v>
      </c>
      <c r="F198" s="81">
        <v>1</v>
      </c>
      <c r="G198" s="81">
        <v>449.93</v>
      </c>
      <c r="H198" s="81">
        <f t="shared" si="23"/>
        <v>449.93</v>
      </c>
      <c r="I198" s="51">
        <f t="shared" si="24"/>
        <v>530.9174</v>
      </c>
      <c r="J198" s="51">
        <f t="shared" si="25"/>
        <v>530.9174</v>
      </c>
      <c r="K198" s="91">
        <f t="shared" si="26"/>
        <v>0.0045679123201922914</v>
      </c>
    </row>
    <row r="199" spans="1:11" ht="26.25">
      <c r="A199" s="48" t="s">
        <v>345</v>
      </c>
      <c r="B199" s="49">
        <v>100849</v>
      </c>
      <c r="C199" s="49" t="s">
        <v>14</v>
      </c>
      <c r="D199" s="17" t="s">
        <v>442</v>
      </c>
      <c r="E199" s="49" t="s">
        <v>23</v>
      </c>
      <c r="F199" s="81">
        <v>1</v>
      </c>
      <c r="G199" s="81">
        <v>38.74</v>
      </c>
      <c r="H199" s="81">
        <f t="shared" si="23"/>
        <v>38.74</v>
      </c>
      <c r="I199" s="51">
        <f t="shared" si="24"/>
        <v>45.7132</v>
      </c>
      <c r="J199" s="51">
        <f t="shared" si="25"/>
        <v>45.7132</v>
      </c>
      <c r="K199" s="91">
        <f t="shared" si="26"/>
        <v>0.00039330767738148014</v>
      </c>
    </row>
    <row r="200" spans="1:11" ht="66">
      <c r="A200" s="48" t="s">
        <v>346</v>
      </c>
      <c r="B200" s="49">
        <v>86929</v>
      </c>
      <c r="C200" s="49" t="s">
        <v>14</v>
      </c>
      <c r="D200" s="17" t="s">
        <v>443</v>
      </c>
      <c r="E200" s="49" t="s">
        <v>23</v>
      </c>
      <c r="F200" s="81">
        <v>1</v>
      </c>
      <c r="G200" s="81">
        <v>407.24</v>
      </c>
      <c r="H200" s="81">
        <f t="shared" si="23"/>
        <v>407.24</v>
      </c>
      <c r="I200" s="51">
        <f t="shared" si="24"/>
        <v>480.5432</v>
      </c>
      <c r="J200" s="51">
        <f t="shared" si="25"/>
        <v>480.5432</v>
      </c>
      <c r="K200" s="91">
        <f>J200/$J$234</f>
        <v>0.004134502285411306</v>
      </c>
    </row>
    <row r="201" spans="1:11" ht="78.75">
      <c r="A201" s="48" t="s">
        <v>347</v>
      </c>
      <c r="B201" s="49">
        <v>86934</v>
      </c>
      <c r="C201" s="49" t="s">
        <v>14</v>
      </c>
      <c r="D201" s="17" t="s">
        <v>348</v>
      </c>
      <c r="E201" s="49" t="s">
        <v>23</v>
      </c>
      <c r="F201" s="81">
        <v>1</v>
      </c>
      <c r="G201" s="81">
        <v>491.76</v>
      </c>
      <c r="H201" s="81">
        <f t="shared" si="23"/>
        <v>491.76</v>
      </c>
      <c r="I201" s="51">
        <f t="shared" si="24"/>
        <v>580.2768</v>
      </c>
      <c r="J201" s="51">
        <f t="shared" si="25"/>
        <v>580.2768</v>
      </c>
      <c r="K201" s="91">
        <f>J201/$J$234</f>
        <v>0.004992591208805283</v>
      </c>
    </row>
    <row r="202" spans="1:11" ht="26.25">
      <c r="A202" s="48" t="s">
        <v>349</v>
      </c>
      <c r="B202" s="49">
        <v>100856</v>
      </c>
      <c r="C202" s="49" t="s">
        <v>14</v>
      </c>
      <c r="D202" s="17" t="s">
        <v>444</v>
      </c>
      <c r="E202" s="49" t="s">
        <v>23</v>
      </c>
      <c r="F202" s="81">
        <v>3</v>
      </c>
      <c r="G202" s="81">
        <v>54.1</v>
      </c>
      <c r="H202" s="81">
        <f t="shared" si="23"/>
        <v>162.3</v>
      </c>
      <c r="I202" s="51">
        <f t="shared" si="24"/>
        <v>63.838</v>
      </c>
      <c r="J202" s="51">
        <f t="shared" si="25"/>
        <v>191.514</v>
      </c>
      <c r="K202" s="91">
        <f>J202/$J$234</f>
        <v>0.0016477500268201918</v>
      </c>
    </row>
    <row r="203" spans="1:11" ht="39">
      <c r="A203" s="48" t="s">
        <v>350</v>
      </c>
      <c r="B203" s="49">
        <v>95546</v>
      </c>
      <c r="C203" s="49" t="s">
        <v>14</v>
      </c>
      <c r="D203" s="17" t="s">
        <v>351</v>
      </c>
      <c r="E203" s="49" t="s">
        <v>23</v>
      </c>
      <c r="F203" s="81">
        <v>1</v>
      </c>
      <c r="G203" s="81">
        <v>243.63</v>
      </c>
      <c r="H203" s="81">
        <f t="shared" si="23"/>
        <v>243.63</v>
      </c>
      <c r="I203" s="51">
        <f t="shared" si="24"/>
        <v>287.4834</v>
      </c>
      <c r="J203" s="51">
        <f t="shared" si="25"/>
        <v>287.4834</v>
      </c>
      <c r="K203" s="91">
        <f>J203/$J$234</f>
        <v>0.00247345248942824</v>
      </c>
    </row>
    <row r="204" spans="1:11" ht="39">
      <c r="A204" s="48" t="s">
        <v>352</v>
      </c>
      <c r="B204" s="49">
        <v>100860</v>
      </c>
      <c r="C204" s="49" t="s">
        <v>14</v>
      </c>
      <c r="D204" s="17" t="s">
        <v>445</v>
      </c>
      <c r="E204" s="49" t="s">
        <v>23</v>
      </c>
      <c r="F204" s="81">
        <v>1</v>
      </c>
      <c r="G204" s="81">
        <v>84.88</v>
      </c>
      <c r="H204" s="81">
        <f t="shared" si="23"/>
        <v>84.88</v>
      </c>
      <c r="I204" s="51">
        <f t="shared" si="24"/>
        <v>100.1584</v>
      </c>
      <c r="J204" s="51">
        <f t="shared" si="25"/>
        <v>100.1584</v>
      </c>
      <c r="K204" s="91">
        <f aca="true" t="shared" si="27" ref="K204:K230">J204/$J$234</f>
        <v>0.0008617438217898821</v>
      </c>
    </row>
    <row r="205" spans="1:11" ht="74.25" customHeight="1">
      <c r="A205" s="48" t="s">
        <v>353</v>
      </c>
      <c r="B205" s="49">
        <v>86939</v>
      </c>
      <c r="C205" s="49" t="s">
        <v>14</v>
      </c>
      <c r="D205" s="17" t="s">
        <v>354</v>
      </c>
      <c r="E205" s="49" t="s">
        <v>23</v>
      </c>
      <c r="F205" s="81">
        <v>1</v>
      </c>
      <c r="G205" s="81">
        <v>422.7</v>
      </c>
      <c r="H205" s="81">
        <f t="shared" si="23"/>
        <v>422.7</v>
      </c>
      <c r="I205" s="51">
        <f t="shared" si="24"/>
        <v>498.786</v>
      </c>
      <c r="J205" s="51">
        <f t="shared" si="25"/>
        <v>498.786</v>
      </c>
      <c r="K205" s="91">
        <f t="shared" si="27"/>
        <v>0.004291459866524307</v>
      </c>
    </row>
    <row r="206" spans="1:11" ht="15" customHeight="1">
      <c r="A206" s="39" t="s">
        <v>355</v>
      </c>
      <c r="B206" s="4"/>
      <c r="C206" s="4"/>
      <c r="D206" s="3" t="s">
        <v>356</v>
      </c>
      <c r="E206" s="5"/>
      <c r="F206" s="177"/>
      <c r="G206" s="178">
        <v>1</v>
      </c>
      <c r="H206" s="6">
        <f>H207+H211</f>
        <v>8847.3616</v>
      </c>
      <c r="I206" s="179"/>
      <c r="J206" s="6">
        <f>J207+J211</f>
        <v>10439.886688</v>
      </c>
      <c r="K206" s="95">
        <f t="shared" si="27"/>
        <v>0.08982279922173712</v>
      </c>
    </row>
    <row r="207" spans="1:11" ht="16.5" customHeight="1">
      <c r="A207" s="39" t="s">
        <v>357</v>
      </c>
      <c r="B207" s="4"/>
      <c r="C207" s="4"/>
      <c r="D207" s="3" t="s">
        <v>358</v>
      </c>
      <c r="E207" s="5"/>
      <c r="F207" s="177"/>
      <c r="G207" s="178">
        <v>1</v>
      </c>
      <c r="H207" s="6">
        <f>H208+H209+H210</f>
        <v>2998.1603999999998</v>
      </c>
      <c r="I207" s="179"/>
      <c r="J207" s="6">
        <f>J208+J209+J210</f>
        <v>3537.8292719999995</v>
      </c>
      <c r="K207" s="95">
        <f t="shared" si="27"/>
        <v>0.030438810101732817</v>
      </c>
    </row>
    <row r="208" spans="1:11" ht="75" customHeight="1">
      <c r="A208" s="48" t="s">
        <v>359</v>
      </c>
      <c r="B208" s="49">
        <v>94570</v>
      </c>
      <c r="C208" s="49" t="s">
        <v>14</v>
      </c>
      <c r="D208" s="17" t="s">
        <v>360</v>
      </c>
      <c r="E208" s="49" t="s">
        <v>16</v>
      </c>
      <c r="F208" s="81">
        <v>2.76</v>
      </c>
      <c r="G208" s="81">
        <v>384.69</v>
      </c>
      <c r="H208" s="81">
        <f>F208*G208</f>
        <v>1061.7443999999998</v>
      </c>
      <c r="I208" s="51">
        <f aca="true" t="shared" si="28" ref="I208:I215">SUM(G208*18/100)+G208</f>
        <v>453.93420000000003</v>
      </c>
      <c r="J208" s="51">
        <f>F208*I208</f>
        <v>1252.858392</v>
      </c>
      <c r="K208" s="91">
        <f t="shared" si="27"/>
        <v>0.010779355290056615</v>
      </c>
    </row>
    <row r="209" spans="1:11" ht="66">
      <c r="A209" s="48" t="s">
        <v>361</v>
      </c>
      <c r="B209" s="49">
        <v>94572</v>
      </c>
      <c r="C209" s="49" t="s">
        <v>14</v>
      </c>
      <c r="D209" s="17" t="s">
        <v>446</v>
      </c>
      <c r="E209" s="49" t="s">
        <v>16</v>
      </c>
      <c r="F209" s="81">
        <v>2.88</v>
      </c>
      <c r="G209" s="81">
        <v>549.79</v>
      </c>
      <c r="H209" s="81">
        <f>F209*G209</f>
        <v>1583.3952</v>
      </c>
      <c r="I209" s="51">
        <f t="shared" si="28"/>
        <v>648.7521999999999</v>
      </c>
      <c r="J209" s="51">
        <f>F209*I209</f>
        <v>1868.4063359999996</v>
      </c>
      <c r="K209" s="91">
        <f t="shared" si="27"/>
        <v>0.016075412712673827</v>
      </c>
    </row>
    <row r="210" spans="1:11" ht="52.5">
      <c r="A210" s="48" t="s">
        <v>362</v>
      </c>
      <c r="B210" s="49">
        <v>94569</v>
      </c>
      <c r="C210" s="49" t="s">
        <v>14</v>
      </c>
      <c r="D210" s="17" t="s">
        <v>447</v>
      </c>
      <c r="E210" s="49" t="s">
        <v>16</v>
      </c>
      <c r="F210" s="81">
        <v>0.48</v>
      </c>
      <c r="G210" s="81">
        <v>735.46</v>
      </c>
      <c r="H210" s="81">
        <f>F210*G210</f>
        <v>353.0208</v>
      </c>
      <c r="I210" s="51">
        <f t="shared" si="28"/>
        <v>867.8428</v>
      </c>
      <c r="J210" s="51">
        <f>F210*I210</f>
        <v>416.564544</v>
      </c>
      <c r="K210" s="91">
        <f t="shared" si="27"/>
        <v>0.0035840420990023757</v>
      </c>
    </row>
    <row r="211" spans="1:11" ht="14.25">
      <c r="A211" s="39" t="s">
        <v>363</v>
      </c>
      <c r="B211" s="4"/>
      <c r="C211" s="4"/>
      <c r="D211" s="3" t="s">
        <v>364</v>
      </c>
      <c r="E211" s="5"/>
      <c r="F211" s="177"/>
      <c r="G211" s="178">
        <v>1</v>
      </c>
      <c r="H211" s="6">
        <f>H212+H213+H214+H215</f>
        <v>5849.2012</v>
      </c>
      <c r="I211" s="179"/>
      <c r="J211" s="6">
        <f>J212+J213+J214+J215</f>
        <v>6902.057416000001</v>
      </c>
      <c r="K211" s="95">
        <f t="shared" si="27"/>
        <v>0.0593839891200043</v>
      </c>
    </row>
    <row r="212" spans="1:11" ht="92.25">
      <c r="A212" s="48" t="s">
        <v>365</v>
      </c>
      <c r="B212" s="49">
        <v>91314</v>
      </c>
      <c r="C212" s="49" t="s">
        <v>14</v>
      </c>
      <c r="D212" s="17" t="s">
        <v>366</v>
      </c>
      <c r="E212" s="49" t="s">
        <v>23</v>
      </c>
      <c r="F212" s="81">
        <v>3</v>
      </c>
      <c r="G212" s="81">
        <v>996.96</v>
      </c>
      <c r="H212" s="81">
        <f>F212*G212</f>
        <v>2990.88</v>
      </c>
      <c r="I212" s="51">
        <f t="shared" si="28"/>
        <v>1176.4128</v>
      </c>
      <c r="J212" s="51">
        <f>F212*I212</f>
        <v>3529.2384</v>
      </c>
      <c r="K212" s="91">
        <f t="shared" si="27"/>
        <v>0.030364895873172985</v>
      </c>
    </row>
    <row r="213" spans="1:11" ht="39">
      <c r="A213" s="48" t="s">
        <v>367</v>
      </c>
      <c r="B213" s="49">
        <v>91338</v>
      </c>
      <c r="C213" s="49" t="s">
        <v>14</v>
      </c>
      <c r="D213" s="17" t="s">
        <v>368</v>
      </c>
      <c r="E213" s="49" t="s">
        <v>16</v>
      </c>
      <c r="F213" s="81">
        <v>1.68</v>
      </c>
      <c r="G213" s="81">
        <v>996.39</v>
      </c>
      <c r="H213" s="81">
        <f>F213*G213</f>
        <v>1673.9352</v>
      </c>
      <c r="I213" s="51">
        <f t="shared" si="28"/>
        <v>1175.7402</v>
      </c>
      <c r="J213" s="51">
        <f>F213*I213</f>
        <v>1975.243536</v>
      </c>
      <c r="K213" s="91">
        <f t="shared" si="27"/>
        <v>0.016994619659243763</v>
      </c>
    </row>
    <row r="214" spans="1:11" ht="52.5">
      <c r="A214" s="48" t="s">
        <v>369</v>
      </c>
      <c r="B214" s="49">
        <v>94805</v>
      </c>
      <c r="C214" s="49" t="s">
        <v>14</v>
      </c>
      <c r="D214" s="17" t="s">
        <v>448</v>
      </c>
      <c r="E214" s="49" t="s">
        <v>23</v>
      </c>
      <c r="F214" s="81">
        <v>1</v>
      </c>
      <c r="G214" s="81">
        <v>993.64</v>
      </c>
      <c r="H214" s="81">
        <f>F214*G214</f>
        <v>993.64</v>
      </c>
      <c r="I214" s="51">
        <f t="shared" si="28"/>
        <v>1172.4952</v>
      </c>
      <c r="J214" s="51">
        <f>F214*I214</f>
        <v>1172.4952</v>
      </c>
      <c r="K214" s="91">
        <f t="shared" si="27"/>
        <v>0.010087925672517655</v>
      </c>
    </row>
    <row r="215" spans="1:11" ht="26.25">
      <c r="A215" s="48" t="s">
        <v>370</v>
      </c>
      <c r="B215" s="49">
        <v>100701</v>
      </c>
      <c r="C215" s="49" t="s">
        <v>14</v>
      </c>
      <c r="D215" s="17" t="s">
        <v>449</v>
      </c>
      <c r="E215" s="49" t="s">
        <v>16</v>
      </c>
      <c r="F215" s="81">
        <v>0.36</v>
      </c>
      <c r="G215" s="81">
        <v>529.85</v>
      </c>
      <c r="H215" s="81">
        <f>F215*G215</f>
        <v>190.746</v>
      </c>
      <c r="I215" s="51">
        <f t="shared" si="28"/>
        <v>625.2230000000001</v>
      </c>
      <c r="J215" s="51">
        <f>F215*I215</f>
        <v>225.08028000000002</v>
      </c>
      <c r="K215" s="91">
        <f t="shared" si="27"/>
        <v>0.0019365479150698973</v>
      </c>
    </row>
    <row r="216" spans="1:11" ht="14.25">
      <c r="A216" s="39" t="s">
        <v>371</v>
      </c>
      <c r="B216" s="4"/>
      <c r="C216" s="4"/>
      <c r="D216" s="3" t="s">
        <v>372</v>
      </c>
      <c r="E216" s="5"/>
      <c r="F216" s="177"/>
      <c r="G216" s="178">
        <v>1</v>
      </c>
      <c r="H216" s="6">
        <f>H217</f>
        <v>1073.40384</v>
      </c>
      <c r="I216" s="179"/>
      <c r="J216" s="6">
        <f>J217</f>
        <v>1266.6165312</v>
      </c>
      <c r="K216" s="95">
        <f t="shared" si="27"/>
        <v>0.010897727702704233</v>
      </c>
    </row>
    <row r="217" spans="1:11" ht="14.25">
      <c r="A217" s="39" t="s">
        <v>373</v>
      </c>
      <c r="B217" s="4"/>
      <c r="C217" s="4"/>
      <c r="D217" s="3" t="s">
        <v>374</v>
      </c>
      <c r="E217" s="5"/>
      <c r="F217" s="177"/>
      <c r="G217" s="178">
        <v>1</v>
      </c>
      <c r="H217" s="6">
        <f>H218+H219+H220</f>
        <v>1073.40384</v>
      </c>
      <c r="I217" s="179"/>
      <c r="J217" s="6">
        <f>J218+J219+J220</f>
        <v>1266.6165312</v>
      </c>
      <c r="K217" s="95">
        <f t="shared" si="27"/>
        <v>0.010897727702704233</v>
      </c>
    </row>
    <row r="218" spans="1:11" ht="45.75" customHeight="1">
      <c r="A218" s="48" t="s">
        <v>375</v>
      </c>
      <c r="B218" s="49">
        <v>94991</v>
      </c>
      <c r="C218" s="49" t="s">
        <v>14</v>
      </c>
      <c r="D218" s="17" t="s">
        <v>479</v>
      </c>
      <c r="E218" s="49" t="s">
        <v>71</v>
      </c>
      <c r="F218" s="81">
        <v>1.084</v>
      </c>
      <c r="G218" s="81">
        <v>639.51</v>
      </c>
      <c r="H218" s="81">
        <f>F218*G218</f>
        <v>693.22884</v>
      </c>
      <c r="I218" s="51">
        <f>SUM(G218*18/100)+G218</f>
        <v>754.6218</v>
      </c>
      <c r="J218" s="51">
        <f>F218*I218</f>
        <v>818.0100312000001</v>
      </c>
      <c r="K218" s="91">
        <f t="shared" si="27"/>
        <v>0.007038002709196122</v>
      </c>
    </row>
    <row r="219" spans="1:11" ht="29.25" customHeight="1">
      <c r="A219" s="48" t="s">
        <v>376</v>
      </c>
      <c r="B219" s="49">
        <v>50001</v>
      </c>
      <c r="C219" s="49" t="s">
        <v>100</v>
      </c>
      <c r="D219" s="17" t="s">
        <v>377</v>
      </c>
      <c r="E219" s="49" t="s">
        <v>131</v>
      </c>
      <c r="F219" s="81">
        <v>7</v>
      </c>
      <c r="G219" s="81">
        <v>46.76</v>
      </c>
      <c r="H219" s="81">
        <f>F219*G219</f>
        <v>327.32</v>
      </c>
      <c r="I219" s="51">
        <f>SUM(G219*18/100)+G219</f>
        <v>55.1768</v>
      </c>
      <c r="J219" s="51">
        <f>F219*I219</f>
        <v>386.2376</v>
      </c>
      <c r="K219" s="91">
        <f t="shared" si="27"/>
        <v>0.0033231148415205493</v>
      </c>
    </row>
    <row r="220" spans="1:11" ht="52.5">
      <c r="A220" s="48" t="s">
        <v>378</v>
      </c>
      <c r="B220" s="49">
        <v>100324</v>
      </c>
      <c r="C220" s="49" t="s">
        <v>14</v>
      </c>
      <c r="D220" s="17" t="s">
        <v>450</v>
      </c>
      <c r="E220" s="49" t="s">
        <v>71</v>
      </c>
      <c r="F220" s="81">
        <v>0.5</v>
      </c>
      <c r="G220" s="81">
        <v>105.71</v>
      </c>
      <c r="H220" s="81">
        <f>F220*G220</f>
        <v>52.855</v>
      </c>
      <c r="I220" s="51">
        <f>SUM(G220*18/100)+G220</f>
        <v>124.7378</v>
      </c>
      <c r="J220" s="51">
        <f>F220*I220</f>
        <v>62.3689</v>
      </c>
      <c r="K220" s="91">
        <f t="shared" si="27"/>
        <v>0.0005366101519875615</v>
      </c>
    </row>
    <row r="221" spans="1:11" ht="14.25">
      <c r="A221" s="39" t="s">
        <v>379</v>
      </c>
      <c r="B221" s="4"/>
      <c r="C221" s="4"/>
      <c r="D221" s="3" t="s">
        <v>380</v>
      </c>
      <c r="E221" s="5"/>
      <c r="F221" s="177"/>
      <c r="G221" s="178">
        <v>1</v>
      </c>
      <c r="H221" s="6">
        <f>H222</f>
        <v>315.90470000000005</v>
      </c>
      <c r="I221" s="179"/>
      <c r="J221" s="6">
        <f>J222</f>
        <v>372.7675459999999</v>
      </c>
      <c r="K221" s="95">
        <f t="shared" si="27"/>
        <v>0.0032072210591350863</v>
      </c>
    </row>
    <row r="222" spans="1:11" ht="14.25">
      <c r="A222" s="39" t="s">
        <v>381</v>
      </c>
      <c r="B222" s="4"/>
      <c r="C222" s="4"/>
      <c r="D222" s="3" t="s">
        <v>382</v>
      </c>
      <c r="E222" s="5"/>
      <c r="F222" s="177"/>
      <c r="G222" s="178">
        <v>1</v>
      </c>
      <c r="H222" s="6">
        <f>H223+H224+H225+H226+H227+H228+H229+H230</f>
        <v>315.90470000000005</v>
      </c>
      <c r="I222" s="179"/>
      <c r="J222" s="6">
        <f>J223+J224+J225+J226+J227+J228+J229+J230</f>
        <v>372.7675459999999</v>
      </c>
      <c r="K222" s="95">
        <f t="shared" si="27"/>
        <v>0.0032072210591350863</v>
      </c>
    </row>
    <row r="223" spans="1:11" ht="39">
      <c r="A223" s="48" t="s">
        <v>383</v>
      </c>
      <c r="B223" s="49">
        <v>99804</v>
      </c>
      <c r="C223" s="49" t="s">
        <v>14</v>
      </c>
      <c r="D223" s="17" t="s">
        <v>451</v>
      </c>
      <c r="E223" s="49" t="s">
        <v>16</v>
      </c>
      <c r="F223" s="81">
        <v>43.41</v>
      </c>
      <c r="G223" s="81">
        <v>4.99</v>
      </c>
      <c r="H223" s="81">
        <f aca="true" t="shared" si="29" ref="H223:H230">F223*G223</f>
        <v>216.61589999999998</v>
      </c>
      <c r="I223" s="51">
        <f aca="true" t="shared" si="30" ref="I223:I230">SUM(G223*18/100)+G223</f>
        <v>5.8882</v>
      </c>
      <c r="J223" s="51">
        <f aca="true" t="shared" si="31" ref="J223:J230">F223*I223</f>
        <v>255.606762</v>
      </c>
      <c r="K223" s="91">
        <f t="shared" si="27"/>
        <v>0.002199191959548244</v>
      </c>
    </row>
    <row r="224" spans="1:11" ht="39">
      <c r="A224" s="48" t="s">
        <v>384</v>
      </c>
      <c r="B224" s="49">
        <v>99807</v>
      </c>
      <c r="C224" s="49" t="s">
        <v>14</v>
      </c>
      <c r="D224" s="17" t="s">
        <v>385</v>
      </c>
      <c r="E224" s="49" t="s">
        <v>16</v>
      </c>
      <c r="F224" s="81">
        <v>24.79</v>
      </c>
      <c r="G224" s="81">
        <v>1.52</v>
      </c>
      <c r="H224" s="81">
        <f t="shared" si="29"/>
        <v>37.6808</v>
      </c>
      <c r="I224" s="51">
        <f t="shared" si="30"/>
        <v>1.7936</v>
      </c>
      <c r="J224" s="51">
        <f t="shared" si="31"/>
        <v>44.463344</v>
      </c>
      <c r="K224" s="91">
        <f t="shared" si="27"/>
        <v>0.0003825541541010861</v>
      </c>
    </row>
    <row r="225" spans="1:11" ht="39">
      <c r="A225" s="48" t="s">
        <v>386</v>
      </c>
      <c r="B225" s="49">
        <v>99816</v>
      </c>
      <c r="C225" s="49" t="s">
        <v>14</v>
      </c>
      <c r="D225" s="17" t="s">
        <v>452</v>
      </c>
      <c r="E225" s="49" t="s">
        <v>23</v>
      </c>
      <c r="F225" s="81">
        <v>2</v>
      </c>
      <c r="G225" s="81">
        <v>9.15</v>
      </c>
      <c r="H225" s="81">
        <f t="shared" si="29"/>
        <v>18.3</v>
      </c>
      <c r="I225" s="51">
        <f t="shared" si="30"/>
        <v>10.797</v>
      </c>
      <c r="J225" s="51">
        <f t="shared" si="31"/>
        <v>21.594</v>
      </c>
      <c r="K225" s="91">
        <f t="shared" si="27"/>
        <v>0.00018579066845846894</v>
      </c>
    </row>
    <row r="226" spans="1:11" ht="39">
      <c r="A226" s="48" t="s">
        <v>387</v>
      </c>
      <c r="B226" s="49">
        <v>99818</v>
      </c>
      <c r="C226" s="49" t="s">
        <v>14</v>
      </c>
      <c r="D226" s="17" t="s">
        <v>388</v>
      </c>
      <c r="E226" s="49" t="s">
        <v>23</v>
      </c>
      <c r="F226" s="81">
        <v>1</v>
      </c>
      <c r="G226" s="81">
        <v>5.72</v>
      </c>
      <c r="H226" s="81">
        <f t="shared" si="29"/>
        <v>5.72</v>
      </c>
      <c r="I226" s="51">
        <f t="shared" si="30"/>
        <v>6.749599999999999</v>
      </c>
      <c r="J226" s="51">
        <f t="shared" si="31"/>
        <v>6.749599999999999</v>
      </c>
      <c r="K226" s="91">
        <f t="shared" si="27"/>
        <v>5.807227451270176E-05</v>
      </c>
    </row>
    <row r="227" spans="1:11" ht="26.25">
      <c r="A227" s="48" t="s">
        <v>389</v>
      </c>
      <c r="B227" s="49">
        <v>99819</v>
      </c>
      <c r="C227" s="49" t="s">
        <v>14</v>
      </c>
      <c r="D227" s="17" t="s">
        <v>390</v>
      </c>
      <c r="E227" s="49" t="s">
        <v>16</v>
      </c>
      <c r="F227" s="81">
        <v>0.72</v>
      </c>
      <c r="G227" s="81">
        <v>15.6</v>
      </c>
      <c r="H227" s="81">
        <f t="shared" si="29"/>
        <v>11.232</v>
      </c>
      <c r="I227" s="51">
        <f t="shared" si="30"/>
        <v>18.408</v>
      </c>
      <c r="J227" s="51">
        <f t="shared" si="31"/>
        <v>13.25376</v>
      </c>
      <c r="K227" s="91">
        <f t="shared" si="27"/>
        <v>0.00011403282995221437</v>
      </c>
    </row>
    <row r="228" spans="1:11" ht="26.25">
      <c r="A228" s="48" t="s">
        <v>391</v>
      </c>
      <c r="B228" s="49">
        <v>99821</v>
      </c>
      <c r="C228" s="49" t="s">
        <v>14</v>
      </c>
      <c r="D228" s="17" t="s">
        <v>453</v>
      </c>
      <c r="E228" s="49" t="s">
        <v>16</v>
      </c>
      <c r="F228" s="81">
        <v>6.12</v>
      </c>
      <c r="G228" s="81">
        <v>3.05</v>
      </c>
      <c r="H228" s="81">
        <f t="shared" si="29"/>
        <v>18.666</v>
      </c>
      <c r="I228" s="51">
        <f t="shared" si="30"/>
        <v>3.5989999999999998</v>
      </c>
      <c r="J228" s="51">
        <f t="shared" si="31"/>
        <v>22.025879999999997</v>
      </c>
      <c r="K228" s="91">
        <f t="shared" si="27"/>
        <v>0.0001895064818276383</v>
      </c>
    </row>
    <row r="229" spans="1:11" ht="14.25">
      <c r="A229" s="48" t="s">
        <v>392</v>
      </c>
      <c r="B229" s="49">
        <v>99822</v>
      </c>
      <c r="C229" s="49" t="s">
        <v>14</v>
      </c>
      <c r="D229" s="17" t="s">
        <v>393</v>
      </c>
      <c r="E229" s="49" t="s">
        <v>16</v>
      </c>
      <c r="F229" s="81">
        <v>3</v>
      </c>
      <c r="G229" s="81">
        <v>0.93</v>
      </c>
      <c r="H229" s="81">
        <f t="shared" si="29"/>
        <v>2.79</v>
      </c>
      <c r="I229" s="51">
        <f t="shared" si="30"/>
        <v>1.0974000000000002</v>
      </c>
      <c r="J229" s="51">
        <f t="shared" si="31"/>
        <v>3.2922000000000002</v>
      </c>
      <c r="K229" s="91">
        <f t="shared" si="27"/>
        <v>2.832546256825838E-05</v>
      </c>
    </row>
    <row r="230" spans="1:11" ht="15" thickBot="1">
      <c r="A230" s="42" t="s">
        <v>394</v>
      </c>
      <c r="B230" s="43">
        <v>99824</v>
      </c>
      <c r="C230" s="43" t="s">
        <v>14</v>
      </c>
      <c r="D230" s="44" t="s">
        <v>395</v>
      </c>
      <c r="E230" s="43" t="s">
        <v>16</v>
      </c>
      <c r="F230" s="82">
        <v>2</v>
      </c>
      <c r="G230" s="82">
        <v>2.45</v>
      </c>
      <c r="H230" s="82">
        <f t="shared" si="29"/>
        <v>4.9</v>
      </c>
      <c r="I230" s="51">
        <f t="shared" si="30"/>
        <v>2.891</v>
      </c>
      <c r="J230" s="45">
        <f t="shared" si="31"/>
        <v>5.782</v>
      </c>
      <c r="K230" s="91">
        <f t="shared" si="27"/>
        <v>4.974722816647529E-05</v>
      </c>
    </row>
    <row r="231" spans="1:11" ht="4.5" customHeight="1" thickBot="1">
      <c r="A231" s="8"/>
      <c r="B231" s="8"/>
      <c r="C231" s="8"/>
      <c r="D231" s="7"/>
      <c r="E231" s="7"/>
      <c r="F231" s="8"/>
      <c r="G231" s="8"/>
      <c r="H231" s="83"/>
      <c r="I231" s="7"/>
      <c r="J231" s="9"/>
      <c r="K231" s="7"/>
    </row>
    <row r="232" spans="1:13" ht="14.25">
      <c r="A232" s="56"/>
      <c r="B232" s="57"/>
      <c r="C232" s="57"/>
      <c r="D232" s="58" t="s">
        <v>454</v>
      </c>
      <c r="E232" s="59"/>
      <c r="F232" s="60"/>
      <c r="G232" s="60"/>
      <c r="H232" s="84"/>
      <c r="I232" s="59"/>
      <c r="J232" s="61">
        <f>H7</f>
        <v>98482.5748</v>
      </c>
      <c r="K232" s="184">
        <f>J232/J234</f>
        <v>0.8473253405391854</v>
      </c>
      <c r="M232" s="54">
        <f>J234*K232</f>
        <v>98482.5748</v>
      </c>
    </row>
    <row r="233" spans="1:13" ht="14.25">
      <c r="A233" s="62"/>
      <c r="B233" s="63"/>
      <c r="C233" s="63"/>
      <c r="D233" s="64" t="s">
        <v>455</v>
      </c>
      <c r="E233" s="65"/>
      <c r="F233" s="66"/>
      <c r="G233" s="66"/>
      <c r="H233" s="85"/>
      <c r="I233" s="65"/>
      <c r="J233" s="67">
        <f>J234-J232</f>
        <v>17745.00637599999</v>
      </c>
      <c r="K233" s="185">
        <f>J233/J234</f>
        <v>0.15267465946081465</v>
      </c>
      <c r="M233" s="54">
        <f>J234*K233</f>
        <v>17745.00637599999</v>
      </c>
    </row>
    <row r="234" spans="1:13" ht="15" thickBot="1">
      <c r="A234" s="68"/>
      <c r="B234" s="69"/>
      <c r="C234" s="69"/>
      <c r="D234" s="70" t="s">
        <v>490</v>
      </c>
      <c r="E234" s="71"/>
      <c r="F234" s="72"/>
      <c r="G234" s="72"/>
      <c r="H234" s="86"/>
      <c r="I234" s="71"/>
      <c r="J234" s="73">
        <f>J7</f>
        <v>116227.58117599999</v>
      </c>
      <c r="K234" s="92">
        <f>J234/J234</f>
        <v>1</v>
      </c>
      <c r="M234" s="54">
        <f>SUM(M232:M233)</f>
        <v>116227.58117599999</v>
      </c>
    </row>
    <row r="235" spans="1:11" ht="7.5" customHeight="1" thickBot="1">
      <c r="A235" s="8"/>
      <c r="B235" s="8"/>
      <c r="C235" s="8"/>
      <c r="D235" s="7"/>
      <c r="E235" s="7"/>
      <c r="F235" s="8"/>
      <c r="G235" s="8"/>
      <c r="H235" s="83"/>
      <c r="I235" s="7"/>
      <c r="J235" s="9"/>
      <c r="K235" s="7"/>
    </row>
    <row r="236" spans="1:11" ht="15" thickBot="1">
      <c r="A236" s="74"/>
      <c r="B236" s="75"/>
      <c r="C236" s="75"/>
      <c r="D236" s="76" t="s">
        <v>456</v>
      </c>
      <c r="E236" s="77"/>
      <c r="F236" s="78"/>
      <c r="G236" s="78"/>
      <c r="H236" s="87"/>
      <c r="I236" s="77"/>
      <c r="J236" s="55">
        <f>(J234*29)-0.03</f>
        <v>3370599.824104</v>
      </c>
      <c r="K236" s="93">
        <f>J236/J236</f>
        <v>1</v>
      </c>
    </row>
    <row r="237" spans="6:11" ht="14.25">
      <c r="F237" s="27" t="s">
        <v>465</v>
      </c>
      <c r="G237" s="28"/>
      <c r="H237" s="88"/>
      <c r="I237" s="27" t="s">
        <v>469</v>
      </c>
      <c r="J237" s="187" t="s">
        <v>470</v>
      </c>
      <c r="K237" s="187"/>
    </row>
    <row r="238" spans="1:11" ht="14.25" customHeight="1">
      <c r="A238" s="186" t="s">
        <v>471</v>
      </c>
      <c r="B238" s="186"/>
      <c r="C238" s="186"/>
      <c r="D238" s="186"/>
      <c r="F238" s="27" t="s">
        <v>468</v>
      </c>
      <c r="G238" s="28"/>
      <c r="H238" s="88"/>
      <c r="I238" s="89">
        <v>0.18</v>
      </c>
      <c r="J238" s="188"/>
      <c r="K238" s="188"/>
    </row>
    <row r="239" spans="6:11" ht="14.25">
      <c r="F239" s="27" t="s">
        <v>467</v>
      </c>
      <c r="G239" s="28"/>
      <c r="H239" s="88"/>
      <c r="I239" s="29"/>
      <c r="J239" s="188"/>
      <c r="K239" s="188"/>
    </row>
    <row r="240" spans="6:11" ht="14.25">
      <c r="F240" s="30" t="s">
        <v>466</v>
      </c>
      <c r="G240" s="28"/>
      <c r="H240" s="88"/>
      <c r="I240" s="27"/>
      <c r="J240" s="188"/>
      <c r="K240" s="188"/>
    </row>
    <row r="241" spans="1:11" ht="24" customHeight="1">
      <c r="A241"/>
      <c r="F241" s="30"/>
      <c r="G241" s="28"/>
      <c r="H241" s="88"/>
      <c r="I241" s="27"/>
      <c r="J241" s="188"/>
      <c r="K241" s="188"/>
    </row>
    <row r="242" spans="1:13" ht="24" customHeight="1">
      <c r="A242"/>
      <c r="F242" s="30"/>
      <c r="G242" s="28"/>
      <c r="H242" s="88"/>
      <c r="I242" s="27"/>
      <c r="K242" s="94"/>
      <c r="M242" s="1">
        <v>98854.22</v>
      </c>
    </row>
    <row r="243" spans="1:14" ht="17.25" customHeight="1">
      <c r="A243"/>
      <c r="F243" s="30"/>
      <c r="G243" s="28"/>
      <c r="H243" s="88"/>
      <c r="I243" s="27"/>
      <c r="K243" s="94"/>
      <c r="M243" s="1">
        <v>17373.36</v>
      </c>
      <c r="N243" s="54"/>
    </row>
    <row r="244" spans="1:14" ht="12" customHeight="1">
      <c r="A244"/>
      <c r="B244" s="25" t="s">
        <v>474</v>
      </c>
      <c r="E244" s="16" t="s">
        <v>472</v>
      </c>
      <c r="F244" s="30"/>
      <c r="G244" s="28"/>
      <c r="H244" s="88"/>
      <c r="I244" s="27"/>
      <c r="K244" s="31"/>
      <c r="M244" s="94">
        <v>116277.58</v>
      </c>
      <c r="N244" s="54"/>
    </row>
    <row r="245" spans="1:13" ht="14.25">
      <c r="A245"/>
      <c r="B245" s="26" t="s">
        <v>475</v>
      </c>
      <c r="E245" t="s">
        <v>473</v>
      </c>
      <c r="M245" s="94">
        <v>3370599.82</v>
      </c>
    </row>
  </sheetData>
  <sheetProtection/>
  <mergeCells count="2">
    <mergeCell ref="A238:D238"/>
    <mergeCell ref="J237:K241"/>
  </mergeCells>
  <printOptions/>
  <pageMargins left="0.7086614173228347" right="0.11811023622047245" top="0.7874015748031497" bottom="0.5905511811023623" header="0.31496062992125984" footer="0.31496062992125984"/>
  <pageSetup horizontalDpi="600" verticalDpi="600" orientation="landscape" paperSize="9" scale="93" r:id="rId2"/>
  <rowBreaks count="3" manualBreakCount="3">
    <brk id="57" max="10" man="1"/>
    <brk id="68" max="10" man="1"/>
    <brk id="225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tabSelected="1" view="pageBreakPreview" zoomScale="60" zoomScaleNormal="55" zoomScalePageLayoutView="0" workbookViewId="0" topLeftCell="A1">
      <selection activeCell="I40" sqref="I40"/>
    </sheetView>
  </sheetViews>
  <sheetFormatPr defaultColWidth="9.140625" defaultRowHeight="15"/>
  <cols>
    <col min="4" max="4" width="18.421875" style="0" customWidth="1"/>
    <col min="5" max="5" width="17.8515625" style="0" bestFit="1" customWidth="1"/>
    <col min="6" max="6" width="21.421875" style="0" bestFit="1" customWidth="1"/>
    <col min="7" max="7" width="10.140625" style="0" bestFit="1" customWidth="1"/>
    <col min="8" max="8" width="19.8515625" style="0" customWidth="1"/>
    <col min="9" max="9" width="7.00390625" style="0" bestFit="1" customWidth="1"/>
    <col min="10" max="10" width="18.7109375" style="0" bestFit="1" customWidth="1"/>
    <col min="11" max="11" width="7.421875" style="0" bestFit="1" customWidth="1"/>
    <col min="12" max="12" width="21.00390625" style="0" bestFit="1" customWidth="1"/>
    <col min="13" max="13" width="7.00390625" style="0" bestFit="1" customWidth="1"/>
    <col min="14" max="14" width="21.00390625" style="0" bestFit="1" customWidth="1"/>
    <col min="15" max="15" width="9.421875" style="0" bestFit="1" customWidth="1"/>
    <col min="16" max="16" width="21.00390625" style="0" bestFit="1" customWidth="1"/>
    <col min="17" max="17" width="9.421875" style="0" bestFit="1" customWidth="1"/>
    <col min="18" max="18" width="9.421875" style="0" customWidth="1"/>
    <col min="19" max="19" width="21.00390625" style="0" bestFit="1" customWidth="1"/>
    <col min="20" max="20" width="8.421875" style="0" bestFit="1" customWidth="1"/>
    <col min="21" max="21" width="20.57421875" style="0" bestFit="1" customWidth="1"/>
    <col min="22" max="22" width="8.421875" style="0" bestFit="1" customWidth="1"/>
    <col min="23" max="23" width="20.57421875" style="0" bestFit="1" customWidth="1"/>
    <col min="24" max="24" width="7.28125" style="0" bestFit="1" customWidth="1"/>
    <col min="25" max="25" width="21.00390625" style="0" bestFit="1" customWidth="1"/>
    <col min="26" max="26" width="7.28125" style="0" bestFit="1" customWidth="1"/>
    <col min="27" max="27" width="20.140625" style="0" bestFit="1" customWidth="1"/>
    <col min="28" max="28" width="7.7109375" style="0" bestFit="1" customWidth="1"/>
    <col min="29" max="29" width="21.00390625" style="0" bestFit="1" customWidth="1"/>
    <col min="30" max="30" width="7.8515625" style="0" bestFit="1" customWidth="1"/>
    <col min="31" max="31" width="21.421875" style="0" bestFit="1" customWidth="1"/>
    <col min="32" max="32" width="8.7109375" style="0" bestFit="1" customWidth="1"/>
    <col min="33" max="33" width="21.00390625" style="0" bestFit="1" customWidth="1"/>
    <col min="34" max="34" width="9.00390625" style="0" bestFit="1" customWidth="1"/>
  </cols>
  <sheetData>
    <row r="1" spans="1:13" ht="15">
      <c r="A1" s="2"/>
      <c r="B1" s="2"/>
      <c r="C1" s="2"/>
      <c r="D1" s="2"/>
      <c r="E1" s="2"/>
      <c r="F1" s="2"/>
      <c r="I1" s="2"/>
      <c r="J1" s="2"/>
      <c r="K1" s="79"/>
      <c r="L1" s="16" t="s">
        <v>461</v>
      </c>
      <c r="M1" s="1"/>
    </row>
    <row r="2" spans="1:13" ht="15">
      <c r="A2" s="2"/>
      <c r="B2" s="2"/>
      <c r="C2" s="2"/>
      <c r="D2" s="220" t="s">
        <v>476</v>
      </c>
      <c r="E2" s="220"/>
      <c r="F2" s="220"/>
      <c r="G2" s="220"/>
      <c r="I2" s="2"/>
      <c r="J2" s="2"/>
      <c r="K2" s="79"/>
      <c r="L2" t="s">
        <v>462</v>
      </c>
      <c r="M2" s="1"/>
    </row>
    <row r="3" spans="1:13" ht="15">
      <c r="A3" s="2"/>
      <c r="B3" s="2"/>
      <c r="C3" s="2"/>
      <c r="D3" s="221" t="s">
        <v>458</v>
      </c>
      <c r="E3" s="221"/>
      <c r="F3" s="221"/>
      <c r="G3" s="221"/>
      <c r="I3" s="2"/>
      <c r="J3" s="2"/>
      <c r="K3" s="79"/>
      <c r="L3" s="16" t="s">
        <v>464</v>
      </c>
      <c r="M3" s="1"/>
    </row>
    <row r="4" spans="1:13" ht="15">
      <c r="A4" s="2"/>
      <c r="B4" s="2"/>
      <c r="C4" s="2"/>
      <c r="D4" s="221" t="s">
        <v>459</v>
      </c>
      <c r="E4" s="221"/>
      <c r="F4" s="221"/>
      <c r="G4" s="221"/>
      <c r="I4" s="2"/>
      <c r="J4" s="2"/>
      <c r="K4" s="79"/>
      <c r="L4" s="47" t="s">
        <v>463</v>
      </c>
      <c r="M4" s="1"/>
    </row>
    <row r="5" ht="15" thickBot="1"/>
    <row r="6" spans="1:34" s="98" customFormat="1" ht="15.75" thickBot="1">
      <c r="A6" s="222" t="s">
        <v>491</v>
      </c>
      <c r="B6" s="224" t="s">
        <v>492</v>
      </c>
      <c r="C6" s="225"/>
      <c r="D6" s="226"/>
      <c r="E6" s="222" t="s">
        <v>493</v>
      </c>
      <c r="F6" s="231" t="s">
        <v>494</v>
      </c>
      <c r="G6" s="222" t="s">
        <v>495</v>
      </c>
      <c r="H6" s="234" t="s">
        <v>496</v>
      </c>
      <c r="I6" s="235"/>
      <c r="J6" s="235"/>
      <c r="K6" s="235"/>
      <c r="L6" s="235"/>
      <c r="M6" s="235"/>
      <c r="N6" s="235"/>
      <c r="O6" s="235"/>
      <c r="P6" s="235"/>
      <c r="Q6" s="236"/>
      <c r="R6" s="97"/>
      <c r="S6" s="234" t="s">
        <v>496</v>
      </c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6"/>
      <c r="AG6" s="237" t="s">
        <v>497</v>
      </c>
      <c r="AH6" s="238"/>
    </row>
    <row r="7" spans="1:34" s="98" customFormat="1" ht="15.75" thickBot="1">
      <c r="A7" s="223"/>
      <c r="B7" s="227"/>
      <c r="C7" s="228"/>
      <c r="D7" s="229"/>
      <c r="E7" s="230"/>
      <c r="F7" s="232"/>
      <c r="G7" s="233"/>
      <c r="H7" s="99" t="s">
        <v>498</v>
      </c>
      <c r="I7" s="100" t="s">
        <v>495</v>
      </c>
      <c r="J7" s="101" t="s">
        <v>499</v>
      </c>
      <c r="K7" s="102" t="s">
        <v>495</v>
      </c>
      <c r="L7" s="99" t="s">
        <v>500</v>
      </c>
      <c r="M7" s="100" t="s">
        <v>495</v>
      </c>
      <c r="N7" s="103" t="s">
        <v>501</v>
      </c>
      <c r="O7" s="102" t="s">
        <v>495</v>
      </c>
      <c r="P7" s="99" t="s">
        <v>502</v>
      </c>
      <c r="Q7" s="100" t="s">
        <v>495</v>
      </c>
      <c r="R7" s="104"/>
      <c r="S7" s="103" t="s">
        <v>503</v>
      </c>
      <c r="T7" s="102" t="s">
        <v>495</v>
      </c>
      <c r="U7" s="99" t="s">
        <v>504</v>
      </c>
      <c r="V7" s="100" t="s">
        <v>495</v>
      </c>
      <c r="W7" s="103" t="s">
        <v>505</v>
      </c>
      <c r="X7" s="102" t="s">
        <v>495</v>
      </c>
      <c r="Y7" s="99" t="s">
        <v>506</v>
      </c>
      <c r="Z7" s="100" t="s">
        <v>495</v>
      </c>
      <c r="AA7" s="103" t="s">
        <v>507</v>
      </c>
      <c r="AB7" s="102" t="s">
        <v>495</v>
      </c>
      <c r="AC7" s="99" t="s">
        <v>508</v>
      </c>
      <c r="AD7" s="100" t="s">
        <v>495</v>
      </c>
      <c r="AE7" s="103" t="s">
        <v>509</v>
      </c>
      <c r="AF7" s="102" t="s">
        <v>495</v>
      </c>
      <c r="AG7" s="239"/>
      <c r="AH7" s="240"/>
    </row>
    <row r="8" spans="1:34" ht="15">
      <c r="A8" s="205" t="str">
        <f>'[1]Plan1'!A8</f>
        <v>1.1</v>
      </c>
      <c r="B8" s="217" t="str">
        <f>'[1]Plan1'!D8</f>
        <v>Serviços Preliminares e Gerais</v>
      </c>
      <c r="C8" s="218"/>
      <c r="D8" s="219"/>
      <c r="E8" s="105">
        <f>Plan1!J8</f>
        <v>14900.561297599997</v>
      </c>
      <c r="F8" s="106">
        <f>(E8*29)-0.03</f>
        <v>432116.2476303999</v>
      </c>
      <c r="G8" s="107">
        <f>Plan1!K8</f>
        <v>0.12820159506749537</v>
      </c>
      <c r="H8" s="108">
        <f>F8*(I8/100)</f>
        <v>38890.46228673599</v>
      </c>
      <c r="I8" s="109">
        <v>9</v>
      </c>
      <c r="J8" s="105">
        <f>F8*(K8/100)</f>
        <v>38890.46228673599</v>
      </c>
      <c r="K8" s="110">
        <v>9</v>
      </c>
      <c r="L8" s="108">
        <f>F8*(M8/100)</f>
        <v>38890.46228673599</v>
      </c>
      <c r="M8" s="109">
        <v>9</v>
      </c>
      <c r="N8" s="105">
        <f>F8*(O8/100)</f>
        <v>38890.46228673599</v>
      </c>
      <c r="O8" s="110">
        <v>9</v>
      </c>
      <c r="P8" s="108">
        <f>F8*(Q8/100)</f>
        <v>34569.29981043199</v>
      </c>
      <c r="Q8" s="109">
        <v>8</v>
      </c>
      <c r="R8" s="111"/>
      <c r="S8" s="105">
        <f>F8*(T8/100)</f>
        <v>34569.29981043199</v>
      </c>
      <c r="T8" s="110">
        <v>8</v>
      </c>
      <c r="U8" s="108">
        <f>F8*(V8/100)</f>
        <v>34569.29981043199</v>
      </c>
      <c r="V8" s="109">
        <v>8</v>
      </c>
      <c r="W8" s="112">
        <f>F8*(X8/100)</f>
        <v>34569.29981043199</v>
      </c>
      <c r="X8" s="113">
        <v>8</v>
      </c>
      <c r="Y8" s="108">
        <f>F8*(Z8/100)</f>
        <v>34569.29981043199</v>
      </c>
      <c r="Z8" s="109">
        <v>8</v>
      </c>
      <c r="AA8" s="112">
        <f>F8*(AB8/100)</f>
        <v>34569.29981043199</v>
      </c>
      <c r="AB8" s="113">
        <v>8</v>
      </c>
      <c r="AC8" s="108">
        <f>F8*(AD8/100)</f>
        <v>34569.29981043199</v>
      </c>
      <c r="AD8" s="109">
        <v>8</v>
      </c>
      <c r="AE8" s="112">
        <f>F8*(AF8/100)</f>
        <v>34569.29981043199</v>
      </c>
      <c r="AF8" s="113">
        <v>8</v>
      </c>
      <c r="AG8" s="114">
        <f>H8+J8+L8+N8+P8+S8+U8+W8+Y8+AA8+AC8+AE8</f>
        <v>432116.24763039994</v>
      </c>
      <c r="AH8" s="115">
        <f>I8+K8+M8+O8+Q8+T8+V8+X8+Z8+AB8+AD8+AF8</f>
        <v>100</v>
      </c>
    </row>
    <row r="9" spans="1:34" ht="15">
      <c r="A9" s="206"/>
      <c r="B9" s="210"/>
      <c r="C9" s="211"/>
      <c r="D9" s="212"/>
      <c r="E9" s="173"/>
      <c r="F9" s="174"/>
      <c r="G9" s="174"/>
      <c r="H9" s="116"/>
      <c r="I9" s="117"/>
      <c r="J9" s="118"/>
      <c r="K9" s="119"/>
      <c r="L9" s="116"/>
      <c r="M9" s="117"/>
      <c r="N9" s="118"/>
      <c r="O9" s="120"/>
      <c r="P9" s="116"/>
      <c r="Q9" s="121"/>
      <c r="R9" s="122"/>
      <c r="S9" s="118"/>
      <c r="T9" s="120"/>
      <c r="U9" s="116"/>
      <c r="V9" s="121"/>
      <c r="W9" s="123"/>
      <c r="X9" s="124"/>
      <c r="Y9" s="116"/>
      <c r="Z9" s="121"/>
      <c r="AA9" s="123"/>
      <c r="AB9" s="124"/>
      <c r="AC9" s="116"/>
      <c r="AD9" s="121"/>
      <c r="AE9" s="123"/>
      <c r="AF9" s="124"/>
      <c r="AG9" s="125"/>
      <c r="AH9" s="126"/>
    </row>
    <row r="10" spans="1:34" ht="15">
      <c r="A10" s="205" t="str">
        <f>'[1]Plan1'!A36</f>
        <v>1.2</v>
      </c>
      <c r="B10" s="207" t="str">
        <f>'[1]Plan1'!D36</f>
        <v>FUNDAÇÕES</v>
      </c>
      <c r="C10" s="208"/>
      <c r="D10" s="209"/>
      <c r="E10" s="127">
        <f>Plan1!J36</f>
        <v>12531.78526</v>
      </c>
      <c r="F10" s="128">
        <f aca="true" t="shared" si="0" ref="F10:F24">E10*29</f>
        <v>363421.77254000003</v>
      </c>
      <c r="G10" s="129">
        <f>Plan1!K36</f>
        <v>0.1078210966209775</v>
      </c>
      <c r="H10" s="130">
        <f>F10*(I10/100)</f>
        <v>72684.354508</v>
      </c>
      <c r="I10" s="131">
        <v>20</v>
      </c>
      <c r="J10" s="127">
        <f>F10*(K10/100)</f>
        <v>72684.354508</v>
      </c>
      <c r="K10" s="132">
        <v>20</v>
      </c>
      <c r="L10" s="130">
        <f>F10*(M10/100)</f>
        <v>72684.354508</v>
      </c>
      <c r="M10" s="131">
        <v>20</v>
      </c>
      <c r="N10" s="127">
        <f>F10*(O10/100)</f>
        <v>72684.354508</v>
      </c>
      <c r="O10" s="132">
        <v>20</v>
      </c>
      <c r="P10" s="130">
        <f>F10*(Q10/100)</f>
        <v>72684.354508</v>
      </c>
      <c r="Q10" s="131">
        <v>20</v>
      </c>
      <c r="R10" s="122"/>
      <c r="S10" s="127"/>
      <c r="T10" s="132"/>
      <c r="U10" s="130"/>
      <c r="V10" s="131"/>
      <c r="W10" s="133"/>
      <c r="X10" s="134"/>
      <c r="Y10" s="130"/>
      <c r="Z10" s="131"/>
      <c r="AA10" s="133"/>
      <c r="AB10" s="134"/>
      <c r="AC10" s="130"/>
      <c r="AD10" s="131"/>
      <c r="AE10" s="133"/>
      <c r="AF10" s="134"/>
      <c r="AG10" s="135">
        <f aca="true" t="shared" si="1" ref="AG10:AH24">H10+J10+L10+N10+P10+S10+U10+W10+Y10+AA10+AC10+AE10</f>
        <v>363421.77254000003</v>
      </c>
      <c r="AH10" s="136">
        <f t="shared" si="1"/>
        <v>100</v>
      </c>
    </row>
    <row r="11" spans="1:34" ht="15">
      <c r="A11" s="206"/>
      <c r="B11" s="210"/>
      <c r="C11" s="211"/>
      <c r="D11" s="212"/>
      <c r="E11" s="173"/>
      <c r="F11" s="174"/>
      <c r="G11" s="174"/>
      <c r="H11" s="116"/>
      <c r="I11" s="117"/>
      <c r="J11" s="118"/>
      <c r="K11" s="119"/>
      <c r="L11" s="116"/>
      <c r="M11" s="117"/>
      <c r="N11" s="118"/>
      <c r="O11" s="120"/>
      <c r="P11" s="116"/>
      <c r="Q11" s="121"/>
      <c r="R11" s="122"/>
      <c r="S11" s="118"/>
      <c r="T11" s="120"/>
      <c r="U11" s="116"/>
      <c r="V11" s="121"/>
      <c r="W11" s="123"/>
      <c r="X11" s="124"/>
      <c r="Y11" s="116"/>
      <c r="Z11" s="121"/>
      <c r="AA11" s="123"/>
      <c r="AB11" s="124"/>
      <c r="AC11" s="116"/>
      <c r="AD11" s="121"/>
      <c r="AE11" s="123"/>
      <c r="AF11" s="124"/>
      <c r="AG11" s="125"/>
      <c r="AH11" s="126"/>
    </row>
    <row r="12" spans="1:34" ht="15">
      <c r="A12" s="205" t="str">
        <f>'[1]Plan1'!A44</f>
        <v>1.3</v>
      </c>
      <c r="B12" s="207" t="str">
        <f>'[1]Plan1'!D44</f>
        <v>Supraestrutura</v>
      </c>
      <c r="C12" s="208"/>
      <c r="D12" s="209"/>
      <c r="E12" s="127">
        <f>Plan1!J44</f>
        <v>21182.2259492</v>
      </c>
      <c r="F12" s="128">
        <f t="shared" si="0"/>
        <v>614284.5525268001</v>
      </c>
      <c r="G12" s="129">
        <f>Plan1!K44</f>
        <v>0.1822478428517271</v>
      </c>
      <c r="H12" s="130">
        <f>F12*(I12/100)</f>
        <v>76785.56906585001</v>
      </c>
      <c r="I12" s="131">
        <v>12.5</v>
      </c>
      <c r="J12" s="127">
        <f>F12*(K12/100)</f>
        <v>76785.56906585001</v>
      </c>
      <c r="K12" s="132">
        <v>12.5</v>
      </c>
      <c r="L12" s="130">
        <f>F12*(M12/100)</f>
        <v>76785.56906585001</v>
      </c>
      <c r="M12" s="131">
        <v>12.5</v>
      </c>
      <c r="N12" s="127">
        <f>F12*(O12/100)</f>
        <v>76785.56906585001</v>
      </c>
      <c r="O12" s="132">
        <v>12.5</v>
      </c>
      <c r="P12" s="130">
        <f>F12*(Q12/100)</f>
        <v>76785.56906585001</v>
      </c>
      <c r="Q12" s="131">
        <v>12.5</v>
      </c>
      <c r="R12" s="122"/>
      <c r="S12" s="127">
        <f>F12*(T12/100)</f>
        <v>76785.56906585001</v>
      </c>
      <c r="T12" s="132">
        <v>12.5</v>
      </c>
      <c r="U12" s="130">
        <f>F12*(V12/100)</f>
        <v>76785.56906585001</v>
      </c>
      <c r="V12" s="131">
        <v>12.5</v>
      </c>
      <c r="W12" s="133">
        <f>F12*(X12/100)</f>
        <v>76785.56906585001</v>
      </c>
      <c r="X12" s="134">
        <v>12.5</v>
      </c>
      <c r="Y12" s="130"/>
      <c r="Z12" s="131"/>
      <c r="AA12" s="133"/>
      <c r="AB12" s="134"/>
      <c r="AC12" s="130"/>
      <c r="AD12" s="131"/>
      <c r="AE12" s="133"/>
      <c r="AF12" s="134"/>
      <c r="AG12" s="135">
        <f t="shared" si="1"/>
        <v>614284.5525268001</v>
      </c>
      <c r="AH12" s="136">
        <f t="shared" si="1"/>
        <v>100</v>
      </c>
    </row>
    <row r="13" spans="1:34" ht="15">
      <c r="A13" s="206"/>
      <c r="B13" s="210"/>
      <c r="C13" s="211"/>
      <c r="D13" s="212"/>
      <c r="E13" s="173"/>
      <c r="F13" s="174"/>
      <c r="G13" s="174"/>
      <c r="H13" s="116"/>
      <c r="I13" s="117"/>
      <c r="J13" s="118"/>
      <c r="K13" s="119"/>
      <c r="L13" s="116"/>
      <c r="M13" s="117"/>
      <c r="N13" s="118"/>
      <c r="O13" s="120"/>
      <c r="P13" s="116"/>
      <c r="Q13" s="121"/>
      <c r="R13" s="122"/>
      <c r="S13" s="118"/>
      <c r="T13" s="120"/>
      <c r="U13" s="116"/>
      <c r="V13" s="121"/>
      <c r="W13" s="123"/>
      <c r="X13" s="124"/>
      <c r="Y13" s="116"/>
      <c r="Z13" s="121"/>
      <c r="AA13" s="123"/>
      <c r="AB13" s="124"/>
      <c r="AC13" s="116"/>
      <c r="AD13" s="121"/>
      <c r="AE13" s="123"/>
      <c r="AF13" s="124"/>
      <c r="AG13" s="125"/>
      <c r="AH13" s="126"/>
    </row>
    <row r="14" spans="1:34" ht="15">
      <c r="A14" s="205" t="str">
        <f>'[1]Plan1'!A61</f>
        <v>1.4</v>
      </c>
      <c r="B14" s="207" t="str">
        <f>'[1]Plan1'!D61</f>
        <v>Coberturas e Proteção</v>
      </c>
      <c r="C14" s="208"/>
      <c r="D14" s="209"/>
      <c r="E14" s="127">
        <f>Plan1!J61</f>
        <v>8525.304237999999</v>
      </c>
      <c r="F14" s="128">
        <f t="shared" si="0"/>
        <v>247233.82290199996</v>
      </c>
      <c r="G14" s="129">
        <f>Plan1!K61</f>
        <v>0.07335009600767982</v>
      </c>
      <c r="H14" s="130"/>
      <c r="I14" s="131"/>
      <c r="J14" s="127">
        <f>F14*(K14/100)</f>
        <v>30904.227862749995</v>
      </c>
      <c r="K14" s="132">
        <v>12.5</v>
      </c>
      <c r="L14" s="130">
        <f>F14*(M14/100)</f>
        <v>30904.227862749995</v>
      </c>
      <c r="M14" s="131">
        <v>12.5</v>
      </c>
      <c r="N14" s="127">
        <f>F14*(O14/100)</f>
        <v>30904.227862749995</v>
      </c>
      <c r="O14" s="132">
        <v>12.5</v>
      </c>
      <c r="P14" s="130">
        <f>F14*(Q14/100)</f>
        <v>30904.227862749995</v>
      </c>
      <c r="Q14" s="131">
        <v>12.5</v>
      </c>
      <c r="R14" s="122"/>
      <c r="S14" s="127">
        <f>F14*(T14/100)</f>
        <v>30904.227862749995</v>
      </c>
      <c r="T14" s="132">
        <v>12.5</v>
      </c>
      <c r="U14" s="130">
        <f>F14*(V14/100)</f>
        <v>30904.227862749995</v>
      </c>
      <c r="V14" s="131">
        <v>12.5</v>
      </c>
      <c r="W14" s="133">
        <f>F14*(X14/100)</f>
        <v>30904.227862749995</v>
      </c>
      <c r="X14" s="134">
        <v>12.5</v>
      </c>
      <c r="Y14" s="130">
        <f>F14*(Z14/100)</f>
        <v>30904.227862749995</v>
      </c>
      <c r="Z14" s="131">
        <v>12.5</v>
      </c>
      <c r="AA14" s="133"/>
      <c r="AB14" s="134"/>
      <c r="AC14" s="130"/>
      <c r="AD14" s="131"/>
      <c r="AE14" s="133"/>
      <c r="AF14" s="134"/>
      <c r="AG14" s="135">
        <f t="shared" si="1"/>
        <v>247233.82290199999</v>
      </c>
      <c r="AH14" s="136">
        <f t="shared" si="1"/>
        <v>100</v>
      </c>
    </row>
    <row r="15" spans="1:34" ht="15">
      <c r="A15" s="206"/>
      <c r="B15" s="210"/>
      <c r="C15" s="211"/>
      <c r="D15" s="212"/>
      <c r="E15" s="173"/>
      <c r="F15" s="174"/>
      <c r="G15" s="174"/>
      <c r="H15" s="116"/>
      <c r="I15" s="117"/>
      <c r="J15" s="118"/>
      <c r="K15" s="119"/>
      <c r="L15" s="116"/>
      <c r="M15" s="117"/>
      <c r="N15" s="118"/>
      <c r="O15" s="120"/>
      <c r="P15" s="116"/>
      <c r="Q15" s="121"/>
      <c r="R15" s="122"/>
      <c r="S15" s="118"/>
      <c r="T15" s="120"/>
      <c r="U15" s="116"/>
      <c r="V15" s="121"/>
      <c r="W15" s="123"/>
      <c r="X15" s="124"/>
      <c r="Y15" s="116"/>
      <c r="Z15" s="121"/>
      <c r="AA15" s="123"/>
      <c r="AB15" s="124"/>
      <c r="AC15" s="116"/>
      <c r="AD15" s="121"/>
      <c r="AE15" s="123"/>
      <c r="AF15" s="124"/>
      <c r="AG15" s="125"/>
      <c r="AH15" s="126"/>
    </row>
    <row r="16" spans="1:34" ht="15">
      <c r="A16" s="205" t="str">
        <f>'[1]Plan1'!A75</f>
        <v>1.5</v>
      </c>
      <c r="B16" s="207" t="str">
        <f>'[1]Plan1'!D75</f>
        <v>Pavimentação e revestimentos</v>
      </c>
      <c r="C16" s="208"/>
      <c r="D16" s="209"/>
      <c r="E16" s="127">
        <f>Plan1!J75</f>
        <v>12834.467472</v>
      </c>
      <c r="F16" s="128">
        <f t="shared" si="0"/>
        <v>372199.556688</v>
      </c>
      <c r="G16" s="129">
        <f>Plan1!K75</f>
        <v>0.11042531679778439</v>
      </c>
      <c r="H16" s="130"/>
      <c r="I16" s="131"/>
      <c r="J16" s="127"/>
      <c r="K16" s="132"/>
      <c r="L16" s="130">
        <f>F16*(M16/100)</f>
        <v>46524.944586</v>
      </c>
      <c r="M16" s="131">
        <v>12.5</v>
      </c>
      <c r="N16" s="127">
        <f>F16*(O16/100)</f>
        <v>46524.944586</v>
      </c>
      <c r="O16" s="132">
        <v>12.5</v>
      </c>
      <c r="P16" s="130">
        <f>F16*(Q16/100)</f>
        <v>46524.944586</v>
      </c>
      <c r="Q16" s="131">
        <v>12.5</v>
      </c>
      <c r="R16" s="122"/>
      <c r="S16" s="127">
        <f>F16*(T16/100)</f>
        <v>46524.944586</v>
      </c>
      <c r="T16" s="132">
        <v>12.5</v>
      </c>
      <c r="U16" s="130">
        <f>F16*(V16/100)</f>
        <v>46524.944586</v>
      </c>
      <c r="V16" s="131">
        <v>12.5</v>
      </c>
      <c r="W16" s="133">
        <f>F16*(X16/100)</f>
        <v>46524.944586</v>
      </c>
      <c r="X16" s="134">
        <v>12.5</v>
      </c>
      <c r="Y16" s="130">
        <f>F16*(Z16/100)</f>
        <v>46524.944586</v>
      </c>
      <c r="Z16" s="131">
        <v>12.5</v>
      </c>
      <c r="AA16" s="133">
        <f>F16*(AB16/100)</f>
        <v>46524.944586</v>
      </c>
      <c r="AB16" s="134">
        <v>12.5</v>
      </c>
      <c r="AC16" s="130"/>
      <c r="AD16" s="131"/>
      <c r="AE16" s="133"/>
      <c r="AF16" s="134"/>
      <c r="AG16" s="135">
        <f t="shared" si="1"/>
        <v>372199.556688</v>
      </c>
      <c r="AH16" s="136">
        <f t="shared" si="1"/>
        <v>100</v>
      </c>
    </row>
    <row r="17" spans="1:34" ht="15">
      <c r="A17" s="206"/>
      <c r="B17" s="210"/>
      <c r="C17" s="211"/>
      <c r="D17" s="212"/>
      <c r="E17" s="173"/>
      <c r="F17" s="174"/>
      <c r="G17" s="174"/>
      <c r="H17" s="116"/>
      <c r="I17" s="117"/>
      <c r="J17" s="118"/>
      <c r="K17" s="119"/>
      <c r="L17" s="116"/>
      <c r="M17" s="117"/>
      <c r="N17" s="118"/>
      <c r="O17" s="120"/>
      <c r="P17" s="116"/>
      <c r="Q17" s="121"/>
      <c r="R17" s="122"/>
      <c r="S17" s="118"/>
      <c r="T17" s="120"/>
      <c r="U17" s="116"/>
      <c r="V17" s="121"/>
      <c r="W17" s="123"/>
      <c r="X17" s="124"/>
      <c r="Y17" s="116"/>
      <c r="Z17" s="121"/>
      <c r="AA17" s="123"/>
      <c r="AB17" s="124"/>
      <c r="AC17" s="116"/>
      <c r="AD17" s="121"/>
      <c r="AE17" s="123"/>
      <c r="AF17" s="124"/>
      <c r="AG17" s="125"/>
      <c r="AH17" s="126"/>
    </row>
    <row r="18" spans="1:34" ht="15">
      <c r="A18" s="205" t="str">
        <f>'[1]Plan1'!A101</f>
        <v>1.6</v>
      </c>
      <c r="B18" s="207" t="str">
        <f>'[1]Plan1'!D101</f>
        <v>INSTALAÇÕES</v>
      </c>
      <c r="C18" s="208"/>
      <c r="D18" s="209"/>
      <c r="E18" s="127">
        <f>Plan1!J101</f>
        <v>34173.96619399999</v>
      </c>
      <c r="F18" s="128">
        <f t="shared" si="0"/>
        <v>991045.0196259998</v>
      </c>
      <c r="G18" s="129">
        <f>Plan1!K101</f>
        <v>0.2940263046707594</v>
      </c>
      <c r="H18" s="130">
        <f>F18*(I18/100)</f>
        <v>141577.85994657144</v>
      </c>
      <c r="I18" s="137">
        <f>100/7</f>
        <v>14.285714285714286</v>
      </c>
      <c r="J18" s="127">
        <f>F18*(K18/100)</f>
        <v>141577.85994657144</v>
      </c>
      <c r="K18" s="138">
        <f>100/7</f>
        <v>14.285714285714286</v>
      </c>
      <c r="L18" s="130">
        <f>F18*(M18/100)</f>
        <v>141577.85994657144</v>
      </c>
      <c r="M18" s="137">
        <f>100/7</f>
        <v>14.285714285714286</v>
      </c>
      <c r="N18" s="127">
        <f>F18*(O18/100)</f>
        <v>141577.85994657144</v>
      </c>
      <c r="O18" s="138">
        <f>100/7</f>
        <v>14.285714285714286</v>
      </c>
      <c r="P18" s="130">
        <f>F18*(Q18/100)</f>
        <v>141577.85994657144</v>
      </c>
      <c r="Q18" s="137">
        <f>100/7</f>
        <v>14.285714285714286</v>
      </c>
      <c r="R18" s="139"/>
      <c r="S18" s="127">
        <f>F18*(T18/100)</f>
        <v>141577.85994657144</v>
      </c>
      <c r="T18" s="138">
        <f>100/7</f>
        <v>14.285714285714286</v>
      </c>
      <c r="U18" s="130">
        <f>F18*(V18/100)</f>
        <v>141577.85994657144</v>
      </c>
      <c r="V18" s="137">
        <f>100/7</f>
        <v>14.285714285714286</v>
      </c>
      <c r="W18" s="133"/>
      <c r="X18" s="134"/>
      <c r="Y18" s="130"/>
      <c r="Z18" s="131"/>
      <c r="AA18" s="133"/>
      <c r="AB18" s="134"/>
      <c r="AC18" s="130"/>
      <c r="AD18" s="131"/>
      <c r="AE18" s="133"/>
      <c r="AF18" s="134"/>
      <c r="AG18" s="135">
        <f t="shared" si="1"/>
        <v>991045.019626</v>
      </c>
      <c r="AH18" s="136">
        <f t="shared" si="1"/>
        <v>100.00000000000001</v>
      </c>
    </row>
    <row r="19" spans="1:34" ht="15">
      <c r="A19" s="206"/>
      <c r="B19" s="210"/>
      <c r="C19" s="211"/>
      <c r="D19" s="212"/>
      <c r="E19" s="173"/>
      <c r="F19" s="174"/>
      <c r="G19" s="174"/>
      <c r="H19" s="116"/>
      <c r="I19" s="117"/>
      <c r="J19" s="118"/>
      <c r="K19" s="119"/>
      <c r="L19" s="116"/>
      <c r="M19" s="117"/>
      <c r="N19" s="118"/>
      <c r="O19" s="120"/>
      <c r="P19" s="116"/>
      <c r="Q19" s="121"/>
      <c r="R19" s="122"/>
      <c r="S19" s="118"/>
      <c r="T19" s="120"/>
      <c r="U19" s="116"/>
      <c r="V19" s="121"/>
      <c r="W19" s="123"/>
      <c r="X19" s="124"/>
      <c r="Y19" s="116"/>
      <c r="Z19" s="121"/>
      <c r="AA19" s="123"/>
      <c r="AB19" s="124"/>
      <c r="AC19" s="116"/>
      <c r="AD19" s="121"/>
      <c r="AE19" s="123"/>
      <c r="AF19" s="124"/>
      <c r="AG19" s="125"/>
      <c r="AH19" s="126"/>
    </row>
    <row r="20" spans="1:34" ht="15">
      <c r="A20" s="205" t="str">
        <f>'[1]Plan1'!A207</f>
        <v>1.7</v>
      </c>
      <c r="B20" s="207" t="str">
        <f>'[1]Plan1'!D207</f>
        <v>Esquadrias</v>
      </c>
      <c r="C20" s="208"/>
      <c r="D20" s="209"/>
      <c r="E20" s="127">
        <f>Plan1!J206</f>
        <v>10439.886688</v>
      </c>
      <c r="F20" s="128">
        <f t="shared" si="0"/>
        <v>302756.713952</v>
      </c>
      <c r="G20" s="129">
        <f>Plan1!K206</f>
        <v>0.08982279922173712</v>
      </c>
      <c r="H20" s="130"/>
      <c r="I20" s="131"/>
      <c r="J20" s="127"/>
      <c r="K20" s="132"/>
      <c r="L20" s="130"/>
      <c r="M20" s="131"/>
      <c r="N20" s="127"/>
      <c r="O20" s="132"/>
      <c r="P20" s="130"/>
      <c r="Q20" s="131"/>
      <c r="R20" s="122"/>
      <c r="S20" s="127"/>
      <c r="T20" s="132"/>
      <c r="U20" s="130"/>
      <c r="V20" s="131"/>
      <c r="W20" s="133">
        <f>F20*(X20/100)</f>
        <v>75689.178488</v>
      </c>
      <c r="X20" s="134">
        <v>25</v>
      </c>
      <c r="Y20" s="130">
        <f>F20*(Z20/100)</f>
        <v>75689.178488</v>
      </c>
      <c r="Z20" s="131">
        <v>25</v>
      </c>
      <c r="AA20" s="133">
        <f>F20*(AB20/100)</f>
        <v>75689.178488</v>
      </c>
      <c r="AB20" s="134">
        <v>25</v>
      </c>
      <c r="AC20" s="130">
        <f>F20*(AD20/100)</f>
        <v>75689.178488</v>
      </c>
      <c r="AD20" s="131">
        <v>25</v>
      </c>
      <c r="AE20" s="133"/>
      <c r="AF20" s="134"/>
      <c r="AG20" s="135">
        <f t="shared" si="1"/>
        <v>302756.713952</v>
      </c>
      <c r="AH20" s="136">
        <f t="shared" si="1"/>
        <v>100</v>
      </c>
    </row>
    <row r="21" spans="1:34" ht="15">
      <c r="A21" s="206"/>
      <c r="B21" s="210"/>
      <c r="C21" s="211"/>
      <c r="D21" s="212"/>
      <c r="E21" s="173"/>
      <c r="F21" s="174"/>
      <c r="G21" s="174"/>
      <c r="H21" s="116"/>
      <c r="I21" s="117"/>
      <c r="J21" s="118"/>
      <c r="K21" s="119"/>
      <c r="L21" s="116"/>
      <c r="M21" s="117"/>
      <c r="N21" s="118"/>
      <c r="O21" s="120"/>
      <c r="P21" s="116"/>
      <c r="Q21" s="121"/>
      <c r="R21" s="122"/>
      <c r="S21" s="118"/>
      <c r="T21" s="120"/>
      <c r="U21" s="116"/>
      <c r="V21" s="121"/>
      <c r="W21" s="123"/>
      <c r="X21" s="124"/>
      <c r="Y21" s="116"/>
      <c r="Z21" s="121"/>
      <c r="AA21" s="123"/>
      <c r="AB21" s="124"/>
      <c r="AC21" s="116"/>
      <c r="AD21" s="121"/>
      <c r="AE21" s="123"/>
      <c r="AF21" s="124"/>
      <c r="AG21" s="125"/>
      <c r="AH21" s="126"/>
    </row>
    <row r="22" spans="1:34" ht="15">
      <c r="A22" s="205" t="str">
        <f>'[1]Plan1'!A217</f>
        <v>1.8</v>
      </c>
      <c r="B22" s="207" t="str">
        <f>'[1]Plan1'!D217</f>
        <v>Pavimentação</v>
      </c>
      <c r="C22" s="208"/>
      <c r="D22" s="209"/>
      <c r="E22" s="127">
        <f>Plan1!J216</f>
        <v>1266.6165312</v>
      </c>
      <c r="F22" s="128">
        <f t="shared" si="0"/>
        <v>36731.8794048</v>
      </c>
      <c r="G22" s="129">
        <f>Plan1!K216</f>
        <v>0.010897727702704233</v>
      </c>
      <c r="H22" s="130"/>
      <c r="I22" s="131"/>
      <c r="J22" s="127"/>
      <c r="K22" s="132"/>
      <c r="L22" s="130"/>
      <c r="M22" s="131"/>
      <c r="N22" s="127"/>
      <c r="O22" s="132"/>
      <c r="P22" s="130"/>
      <c r="Q22" s="131"/>
      <c r="R22" s="122"/>
      <c r="S22" s="127"/>
      <c r="T22" s="132"/>
      <c r="U22" s="130"/>
      <c r="V22" s="131"/>
      <c r="W22" s="133"/>
      <c r="X22" s="134"/>
      <c r="Y22" s="130"/>
      <c r="Z22" s="131"/>
      <c r="AA22" s="133">
        <f>F22*(AB22/100)</f>
        <v>12243.9598016</v>
      </c>
      <c r="AB22" s="140">
        <f>100/3</f>
        <v>33.333333333333336</v>
      </c>
      <c r="AC22" s="130">
        <f>F22*(AD22/100)</f>
        <v>12243.9598016</v>
      </c>
      <c r="AD22" s="137">
        <f>100/3</f>
        <v>33.333333333333336</v>
      </c>
      <c r="AE22" s="133">
        <f>F22*(AF22/100)</f>
        <v>12243.9598016</v>
      </c>
      <c r="AF22" s="140">
        <f>100/3</f>
        <v>33.333333333333336</v>
      </c>
      <c r="AG22" s="135">
        <f t="shared" si="1"/>
        <v>36731.8794048</v>
      </c>
      <c r="AH22" s="136">
        <f t="shared" si="1"/>
        <v>100</v>
      </c>
    </row>
    <row r="23" spans="1:34" ht="15">
      <c r="A23" s="206"/>
      <c r="B23" s="210"/>
      <c r="C23" s="211"/>
      <c r="D23" s="212"/>
      <c r="E23" s="173"/>
      <c r="F23" s="174"/>
      <c r="G23" s="174"/>
      <c r="H23" s="116"/>
      <c r="I23" s="117"/>
      <c r="J23" s="118"/>
      <c r="K23" s="119"/>
      <c r="L23" s="116"/>
      <c r="M23" s="117"/>
      <c r="N23" s="118"/>
      <c r="O23" s="120"/>
      <c r="P23" s="116"/>
      <c r="Q23" s="121"/>
      <c r="R23" s="122"/>
      <c r="S23" s="118"/>
      <c r="T23" s="120"/>
      <c r="U23" s="116"/>
      <c r="V23" s="121"/>
      <c r="W23" s="123"/>
      <c r="X23" s="124"/>
      <c r="Y23" s="116"/>
      <c r="Z23" s="121"/>
      <c r="AA23" s="123"/>
      <c r="AB23" s="124"/>
      <c r="AC23" s="116"/>
      <c r="AD23" s="121"/>
      <c r="AE23" s="123"/>
      <c r="AF23" s="124"/>
      <c r="AG23" s="125"/>
      <c r="AH23" s="126"/>
    </row>
    <row r="24" spans="1:34" ht="15">
      <c r="A24" s="205" t="str">
        <f>'[1]Plan1'!A222</f>
        <v>1.9</v>
      </c>
      <c r="B24" s="207" t="str">
        <f>'[1]Plan1'!D222</f>
        <v>Complementações</v>
      </c>
      <c r="C24" s="208"/>
      <c r="D24" s="209"/>
      <c r="E24" s="127">
        <f>Plan1!J221</f>
        <v>372.7675459999999</v>
      </c>
      <c r="F24" s="128">
        <f t="shared" si="0"/>
        <v>10810.258833999998</v>
      </c>
      <c r="G24" s="129">
        <f>Plan1!K221</f>
        <v>0.0032072210591350863</v>
      </c>
      <c r="H24" s="130"/>
      <c r="I24" s="131"/>
      <c r="J24" s="127"/>
      <c r="K24" s="132"/>
      <c r="L24" s="130"/>
      <c r="M24" s="131"/>
      <c r="N24" s="127"/>
      <c r="O24" s="132"/>
      <c r="P24" s="130"/>
      <c r="Q24" s="131"/>
      <c r="R24" s="122"/>
      <c r="S24" s="127"/>
      <c r="T24" s="132"/>
      <c r="U24" s="130"/>
      <c r="V24" s="131"/>
      <c r="W24" s="133"/>
      <c r="X24" s="134"/>
      <c r="Y24" s="130"/>
      <c r="Z24" s="131"/>
      <c r="AA24" s="133"/>
      <c r="AB24" s="134"/>
      <c r="AC24" s="130">
        <f>F24*(AD24/100)</f>
        <v>5405.129416999999</v>
      </c>
      <c r="AD24" s="131">
        <v>50</v>
      </c>
      <c r="AE24" s="133">
        <f>F24*(AF24/100)</f>
        <v>5405.129416999999</v>
      </c>
      <c r="AF24" s="134">
        <v>50</v>
      </c>
      <c r="AG24" s="135">
        <f t="shared" si="1"/>
        <v>10810.258833999998</v>
      </c>
      <c r="AH24" s="136">
        <f t="shared" si="1"/>
        <v>100</v>
      </c>
    </row>
    <row r="25" spans="1:34" ht="15.75" thickBot="1">
      <c r="A25" s="213"/>
      <c r="B25" s="214"/>
      <c r="C25" s="215"/>
      <c r="D25" s="216"/>
      <c r="E25" s="175"/>
      <c r="F25" s="176"/>
      <c r="G25" s="176"/>
      <c r="H25" s="141"/>
      <c r="I25" s="142"/>
      <c r="J25" s="143"/>
      <c r="K25" s="144"/>
      <c r="L25" s="141"/>
      <c r="M25" s="142"/>
      <c r="N25" s="145"/>
      <c r="O25" s="146"/>
      <c r="P25" s="147"/>
      <c r="Q25" s="148"/>
      <c r="R25" s="122"/>
      <c r="S25" s="145"/>
      <c r="T25" s="146"/>
      <c r="U25" s="147"/>
      <c r="V25" s="148"/>
      <c r="W25" s="149"/>
      <c r="X25" s="149"/>
      <c r="Y25" s="147"/>
      <c r="Z25" s="148"/>
      <c r="AA25" s="149"/>
      <c r="AB25" s="149"/>
      <c r="AC25" s="147"/>
      <c r="AD25" s="148"/>
      <c r="AE25" s="149"/>
      <c r="AF25" s="149"/>
      <c r="AG25" s="150"/>
      <c r="AH25" s="151"/>
    </row>
    <row r="26" spans="1:34" ht="15.75" thickBot="1">
      <c r="A26" s="152"/>
      <c r="B26" s="153"/>
      <c r="C26" s="153"/>
      <c r="D26" s="153"/>
      <c r="E26" s="154"/>
      <c r="F26" s="154"/>
      <c r="G26" s="155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24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7"/>
      <c r="AH26" s="157"/>
    </row>
    <row r="27" spans="1:34" ht="15.75" thickBot="1">
      <c r="A27" s="189" t="s">
        <v>497</v>
      </c>
      <c r="B27" s="190"/>
      <c r="C27" s="190"/>
      <c r="D27" s="191"/>
      <c r="E27" s="192">
        <f>SUM(E8:E25)</f>
        <v>116227.58117599999</v>
      </c>
      <c r="F27" s="194">
        <f>SUM(F8:F24)</f>
        <v>3370599.8241040003</v>
      </c>
      <c r="G27" s="196">
        <f>SUM(G8:G24)</f>
        <v>1</v>
      </c>
      <c r="H27" s="158">
        <f>SUM(H8:H25)</f>
        <v>329938.2458071575</v>
      </c>
      <c r="I27" s="159">
        <f>(H27*100)/$F$27</f>
        <v>9.788710111704356</v>
      </c>
      <c r="J27" s="160">
        <f>SUM(J8:J25)</f>
        <v>360842.4736699074</v>
      </c>
      <c r="K27" s="161">
        <f>(J27*100)/$F$27</f>
        <v>10.705586319961002</v>
      </c>
      <c r="L27" s="158">
        <f>SUM(L8:L25)</f>
        <v>407367.4182559075</v>
      </c>
      <c r="M27" s="159">
        <f>(L27*100)/F27</f>
        <v>12.085902792218803</v>
      </c>
      <c r="N27" s="160">
        <f>SUM(N8:N25)</f>
        <v>407367.4182559075</v>
      </c>
      <c r="O27" s="162">
        <f>(N27*100)/F27</f>
        <v>12.085902792218803</v>
      </c>
      <c r="P27" s="158">
        <f>SUM(P8:P25)</f>
        <v>403046.2557796035</v>
      </c>
      <c r="Q27" s="163">
        <f>(P27*100)/F27</f>
        <v>11.957701204910745</v>
      </c>
      <c r="R27" s="139"/>
      <c r="S27" s="164">
        <f>SUM(S8:S25)</f>
        <v>330361.9012716034</v>
      </c>
      <c r="T27" s="165">
        <f>(S27*100)/F27</f>
        <v>9.801279253297974</v>
      </c>
      <c r="U27" s="158">
        <f>SUM(U8:U25)</f>
        <v>330361.9012716034</v>
      </c>
      <c r="V27" s="163">
        <f>(U27*100)/F27</f>
        <v>9.801279253297974</v>
      </c>
      <c r="W27" s="160">
        <f>SUM(W8:W25)</f>
        <v>264473.219813032</v>
      </c>
      <c r="X27" s="162">
        <f>(W27*100)/F27</f>
        <v>7.846473435431819</v>
      </c>
      <c r="Y27" s="158">
        <f>SUM(Y8:Y25)</f>
        <v>187687.650747182</v>
      </c>
      <c r="Z27" s="163">
        <f>(Y27*100)/F27</f>
        <v>5.568375379509035</v>
      </c>
      <c r="AA27" s="160">
        <f>SUM(AA8:AA25)</f>
        <v>169027.38268603198</v>
      </c>
      <c r="AB27" s="162">
        <f>(AA27*100)/F27</f>
        <v>5.014756764575699</v>
      </c>
      <c r="AC27" s="158">
        <f>SUM(AC8:AC25)</f>
        <v>127907.56751703199</v>
      </c>
      <c r="AD27" s="163">
        <f>(AC27*100)/F27</f>
        <v>3.794801346701945</v>
      </c>
      <c r="AE27" s="160">
        <f>SUM(AE8:AE25)</f>
        <v>52218.38902903199</v>
      </c>
      <c r="AF27" s="162">
        <f>(AE27*100)/F27</f>
        <v>1.5492313461718374</v>
      </c>
      <c r="AG27" s="198">
        <f>SUM(AG8:AG25)</f>
        <v>3370599.8241040003</v>
      </c>
      <c r="AH27" s="199"/>
    </row>
    <row r="28" spans="1:34" ht="15.75" thickBot="1">
      <c r="A28" s="202" t="s">
        <v>510</v>
      </c>
      <c r="B28" s="203"/>
      <c r="C28" s="203"/>
      <c r="D28" s="204"/>
      <c r="E28" s="193"/>
      <c r="F28" s="195"/>
      <c r="G28" s="197"/>
      <c r="H28" s="166">
        <f>H27</f>
        <v>329938.2458071575</v>
      </c>
      <c r="I28" s="167">
        <f>I27</f>
        <v>9.788710111704356</v>
      </c>
      <c r="J28" s="168">
        <f aca="true" t="shared" si="2" ref="J28:AF28">H28+J27</f>
        <v>690780.7194770649</v>
      </c>
      <c r="K28" s="169">
        <f t="shared" si="2"/>
        <v>20.494296431665358</v>
      </c>
      <c r="L28" s="166">
        <f t="shared" si="2"/>
        <v>1098148.1377329724</v>
      </c>
      <c r="M28" s="167">
        <f t="shared" si="2"/>
        <v>32.580199223884165</v>
      </c>
      <c r="N28" s="168">
        <f t="shared" si="2"/>
        <v>1505515.5559888799</v>
      </c>
      <c r="O28" s="169">
        <f t="shared" si="2"/>
        <v>44.66610201610297</v>
      </c>
      <c r="P28" s="166">
        <f t="shared" si="2"/>
        <v>1908561.8117684834</v>
      </c>
      <c r="Q28" s="167">
        <f t="shared" si="2"/>
        <v>56.623803221013716</v>
      </c>
      <c r="R28" s="139"/>
      <c r="S28" s="170">
        <f>P28+S27</f>
        <v>2238923.713040087</v>
      </c>
      <c r="T28" s="171">
        <f>Q28+T27</f>
        <v>66.4250824743117</v>
      </c>
      <c r="U28" s="166">
        <f t="shared" si="2"/>
        <v>2569285.6143116904</v>
      </c>
      <c r="V28" s="167">
        <f t="shared" si="2"/>
        <v>76.22636172760967</v>
      </c>
      <c r="W28" s="168">
        <f t="shared" si="2"/>
        <v>2833758.8341247225</v>
      </c>
      <c r="X28" s="169">
        <f t="shared" si="2"/>
        <v>84.07283516304149</v>
      </c>
      <c r="Y28" s="166">
        <f t="shared" si="2"/>
        <v>3021446.4848719044</v>
      </c>
      <c r="Z28" s="167">
        <f t="shared" si="2"/>
        <v>89.64121054255052</v>
      </c>
      <c r="AA28" s="168">
        <f t="shared" si="2"/>
        <v>3190473.8675579363</v>
      </c>
      <c r="AB28" s="169">
        <f t="shared" si="2"/>
        <v>94.65596730712622</v>
      </c>
      <c r="AC28" s="166">
        <f t="shared" si="2"/>
        <v>3318381.4350749683</v>
      </c>
      <c r="AD28" s="167">
        <f t="shared" si="2"/>
        <v>98.45076865382816</v>
      </c>
      <c r="AE28" s="168">
        <f t="shared" si="2"/>
        <v>3370599.8241040003</v>
      </c>
      <c r="AF28" s="169">
        <f t="shared" si="2"/>
        <v>100</v>
      </c>
      <c r="AG28" s="200"/>
      <c r="AH28" s="201"/>
    </row>
    <row r="29" spans="5:32" ht="14.25"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</row>
    <row r="30" spans="5:32" ht="14.25"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T30" s="172" t="str">
        <f>'[1]Plan1'!A239</f>
        <v>Ijuí / RS, 31 de agosto de 2023.</v>
      </c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</row>
    <row r="34" spans="23:29" ht="14.25">
      <c r="W34" s="25" t="s">
        <v>474</v>
      </c>
      <c r="Y34" s="2"/>
      <c r="AA34" s="16" t="s">
        <v>472</v>
      </c>
      <c r="AB34" s="30"/>
      <c r="AC34" s="28"/>
    </row>
    <row r="35" spans="23:29" ht="14.25">
      <c r="W35" s="26" t="s">
        <v>475</v>
      </c>
      <c r="Y35" s="2"/>
      <c r="AA35" t="s">
        <v>473</v>
      </c>
      <c r="AB35" s="2"/>
      <c r="AC35" s="2"/>
    </row>
    <row r="37" spans="17:34" ht="15">
      <c r="Q37" s="157" t="s">
        <v>511</v>
      </c>
      <c r="R37" s="157"/>
      <c r="AH37" s="157" t="s">
        <v>512</v>
      </c>
    </row>
  </sheetData>
  <sheetProtection/>
  <mergeCells count="35">
    <mergeCell ref="H6:Q6"/>
    <mergeCell ref="S6:AF6"/>
    <mergeCell ref="AG6:AH7"/>
    <mergeCell ref="A8:A9"/>
    <mergeCell ref="B8:D9"/>
    <mergeCell ref="D2:G2"/>
    <mergeCell ref="D3:G3"/>
    <mergeCell ref="D4:G4"/>
    <mergeCell ref="A6:A7"/>
    <mergeCell ref="B6:D7"/>
    <mergeCell ref="E6:E7"/>
    <mergeCell ref="F6:F7"/>
    <mergeCell ref="G6:G7"/>
    <mergeCell ref="A14:A15"/>
    <mergeCell ref="B14:D15"/>
    <mergeCell ref="A16:A17"/>
    <mergeCell ref="B16:D17"/>
    <mergeCell ref="A10:A11"/>
    <mergeCell ref="B10:D11"/>
    <mergeCell ref="A12:A13"/>
    <mergeCell ref="B12:D13"/>
    <mergeCell ref="A22:A23"/>
    <mergeCell ref="B22:D23"/>
    <mergeCell ref="A24:A25"/>
    <mergeCell ref="B24:D25"/>
    <mergeCell ref="A18:A19"/>
    <mergeCell ref="B18:D19"/>
    <mergeCell ref="A20:A21"/>
    <mergeCell ref="B20:D21"/>
    <mergeCell ref="A27:D27"/>
    <mergeCell ref="E27:E28"/>
    <mergeCell ref="F27:F28"/>
    <mergeCell ref="G27:G28"/>
    <mergeCell ref="AG27:AH28"/>
    <mergeCell ref="A28:D28"/>
  </mergeCells>
  <printOptions/>
  <pageMargins left="0.5118110236220472" right="0.5118110236220472" top="1.5748031496062993" bottom="0.7874015748031497" header="0.31496062992125984" footer="0.31496062992125984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suporte-2@hotmail.com</dc:creator>
  <cp:keywords/>
  <dc:description/>
  <cp:lastModifiedBy>Usuario</cp:lastModifiedBy>
  <cp:lastPrinted>2024-02-08T14:47:14Z</cp:lastPrinted>
  <dcterms:created xsi:type="dcterms:W3CDTF">2023-08-31T13:35:43Z</dcterms:created>
  <dcterms:modified xsi:type="dcterms:W3CDTF">2024-02-08T14:47:31Z</dcterms:modified>
  <cp:category/>
  <cp:version/>
  <cp:contentType/>
  <cp:contentStatus/>
</cp:coreProperties>
</file>