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eu Drive\Eng_Anderson\Projetos\2023\SMEd\OBRAS EM ANDAMENTO\IMEAB_E.Fazenda\COPAM\"/>
    </mc:Choice>
  </mc:AlternateContent>
  <xr:revisionPtr revIDLastSave="0" documentId="13_ncr:1_{A268E09B-998E-4BD9-A99E-64A02BD1A83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ORCAMENTO" sheetId="1" r:id="rId1"/>
    <sheet name="CRONOGRAMA" sheetId="2" r:id="rId2"/>
  </sheets>
  <definedNames>
    <definedName name="_xlnm.Print_Area" localSheetId="1">CRONOGRAMA!$A$4:$L$24</definedName>
    <definedName name="_xlnm.Print_Area" localSheetId="0">ORCAMENTO!$A$1:$M$220</definedName>
  </definedNames>
  <calcPr calcId="191029"/>
</workbook>
</file>

<file path=xl/calcChain.xml><?xml version="1.0" encoding="utf-8"?>
<calcChain xmlns="http://schemas.openxmlformats.org/spreadsheetml/2006/main">
  <c r="L224" i="1" l="1"/>
  <c r="K224" i="1"/>
  <c r="K113" i="1" l="1"/>
  <c r="J99" i="1"/>
  <c r="J87" i="1"/>
  <c r="J76" i="1"/>
  <c r="J77" i="1"/>
  <c r="J64" i="1"/>
  <c r="J37" i="1"/>
  <c r="J22" i="1"/>
  <c r="J15" i="1"/>
  <c r="F13" i="1"/>
  <c r="I212" i="1"/>
  <c r="H34" i="1"/>
  <c r="G34" i="1"/>
  <c r="H21" i="1"/>
  <c r="G21" i="1"/>
  <c r="H17" i="1"/>
  <c r="G17" i="1"/>
  <c r="H88" i="1"/>
  <c r="G88" i="1"/>
  <c r="F146" i="1"/>
  <c r="F187" i="1"/>
  <c r="E187" i="1"/>
  <c r="G187" i="1"/>
  <c r="H187" i="1"/>
  <c r="B187" i="1"/>
  <c r="C187" i="1"/>
  <c r="D187" i="1"/>
  <c r="I183" i="1"/>
  <c r="K183" i="1"/>
  <c r="L183" i="1"/>
  <c r="J183" i="1"/>
  <c r="L14" i="2"/>
  <c r="L15" i="2"/>
  <c r="L13" i="2"/>
  <c r="B15" i="2"/>
  <c r="B14" i="2"/>
  <c r="B13" i="2"/>
  <c r="G205" i="1"/>
  <c r="H205" i="1"/>
  <c r="I205" i="1" s="1"/>
  <c r="G199" i="1"/>
  <c r="I199" i="1" s="1"/>
  <c r="S197" i="1"/>
  <c r="S199" i="1" s="1"/>
  <c r="H211" i="1"/>
  <c r="E204" i="1"/>
  <c r="G204" i="1"/>
  <c r="J204" i="1" s="1"/>
  <c r="H204" i="1"/>
  <c r="B204" i="1"/>
  <c r="C204" i="1"/>
  <c r="D204" i="1"/>
  <c r="G203" i="1"/>
  <c r="H203" i="1"/>
  <c r="E203" i="1"/>
  <c r="B203" i="1"/>
  <c r="C203" i="1"/>
  <c r="D203" i="1"/>
  <c r="H188" i="1"/>
  <c r="K188" i="1" s="1"/>
  <c r="J190" i="1"/>
  <c r="K190" i="1"/>
  <c r="J191" i="1"/>
  <c r="K191" i="1"/>
  <c r="J193" i="1"/>
  <c r="K193" i="1"/>
  <c r="J194" i="1"/>
  <c r="K194" i="1"/>
  <c r="J195" i="1"/>
  <c r="K195" i="1"/>
  <c r="I206" i="1"/>
  <c r="I202" i="1"/>
  <c r="I201" i="1"/>
  <c r="I200" i="1"/>
  <c r="I198" i="1"/>
  <c r="I194" i="1"/>
  <c r="J206" i="1"/>
  <c r="K206" i="1"/>
  <c r="B210" i="1"/>
  <c r="C210" i="1"/>
  <c r="B212" i="1"/>
  <c r="C212" i="1"/>
  <c r="B209" i="1"/>
  <c r="C209" i="1"/>
  <c r="B208" i="1"/>
  <c r="C208" i="1"/>
  <c r="F212" i="1"/>
  <c r="F211" i="1" s="1"/>
  <c r="J211" i="1" s="1"/>
  <c r="I190" i="1"/>
  <c r="I191" i="1"/>
  <c r="I193" i="1"/>
  <c r="I195" i="1"/>
  <c r="J198" i="1"/>
  <c r="K198" i="1"/>
  <c r="J199" i="1"/>
  <c r="K199" i="1"/>
  <c r="J200" i="1"/>
  <c r="K200" i="1"/>
  <c r="J201" i="1"/>
  <c r="K201" i="1"/>
  <c r="J202" i="1"/>
  <c r="K202" i="1"/>
  <c r="J205" i="1"/>
  <c r="K205" i="1"/>
  <c r="F208" i="1"/>
  <c r="E208" i="1"/>
  <c r="G208" i="1"/>
  <c r="H208" i="1"/>
  <c r="E209" i="1"/>
  <c r="G209" i="1"/>
  <c r="H209" i="1"/>
  <c r="E210" i="1"/>
  <c r="G210" i="1"/>
  <c r="H210" i="1"/>
  <c r="E211" i="1"/>
  <c r="I211" i="1"/>
  <c r="E212" i="1"/>
  <c r="G212" i="1"/>
  <c r="H212" i="1"/>
  <c r="D208" i="1"/>
  <c r="D209" i="1"/>
  <c r="D210" i="1"/>
  <c r="D212" i="1"/>
  <c r="B197" i="1"/>
  <c r="C197" i="1"/>
  <c r="E197" i="1"/>
  <c r="G197" i="1"/>
  <c r="J197" i="1" s="1"/>
  <c r="H197" i="1"/>
  <c r="D197" i="1"/>
  <c r="B196" i="1"/>
  <c r="C196" i="1"/>
  <c r="E196" i="1"/>
  <c r="G196" i="1"/>
  <c r="J196" i="1" s="1"/>
  <c r="H196" i="1"/>
  <c r="D196" i="1"/>
  <c r="E192" i="1"/>
  <c r="G192" i="1"/>
  <c r="J192" i="1" s="1"/>
  <c r="H192" i="1"/>
  <c r="B192" i="1"/>
  <c r="C192" i="1"/>
  <c r="D192" i="1"/>
  <c r="B189" i="1"/>
  <c r="C189" i="1"/>
  <c r="E189" i="1"/>
  <c r="G189" i="1"/>
  <c r="J189" i="1" s="1"/>
  <c r="H189" i="1"/>
  <c r="K189" i="1" s="1"/>
  <c r="D189" i="1"/>
  <c r="B186" i="1"/>
  <c r="C186" i="1"/>
  <c r="E188" i="1"/>
  <c r="J188" i="1"/>
  <c r="E186" i="1"/>
  <c r="G186" i="1"/>
  <c r="J186" i="1" s="1"/>
  <c r="H186" i="1"/>
  <c r="K186" i="1" s="1"/>
  <c r="D186" i="1"/>
  <c r="F173" i="1"/>
  <c r="F168" i="1"/>
  <c r="F167" i="1"/>
  <c r="K185" i="1"/>
  <c r="J185" i="1"/>
  <c r="I185" i="1"/>
  <c r="C185" i="1"/>
  <c r="C188" i="1" s="1"/>
  <c r="C206" i="1" s="1"/>
  <c r="F135" i="1"/>
  <c r="F132" i="1"/>
  <c r="C138" i="1"/>
  <c r="D138" i="1"/>
  <c r="E138" i="1"/>
  <c r="G138" i="1"/>
  <c r="J138" i="1" s="1"/>
  <c r="H138" i="1"/>
  <c r="K138" i="1" s="1"/>
  <c r="B138" i="1"/>
  <c r="C136" i="1"/>
  <c r="D136" i="1"/>
  <c r="E136" i="1"/>
  <c r="G136" i="1"/>
  <c r="J136" i="1" s="1"/>
  <c r="H136" i="1"/>
  <c r="K136" i="1" s="1"/>
  <c r="B136" i="1"/>
  <c r="C137" i="1"/>
  <c r="D137" i="1"/>
  <c r="E137" i="1"/>
  <c r="G137" i="1"/>
  <c r="J137" i="1" s="1"/>
  <c r="H137" i="1"/>
  <c r="K137" i="1" s="1"/>
  <c r="B137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B135" i="1"/>
  <c r="C135" i="1"/>
  <c r="D135" i="1"/>
  <c r="B133" i="1"/>
  <c r="C133" i="1"/>
  <c r="D133" i="1"/>
  <c r="B134" i="1"/>
  <c r="C134" i="1"/>
  <c r="D134" i="1"/>
  <c r="C132" i="1"/>
  <c r="D132" i="1"/>
  <c r="B132" i="1"/>
  <c r="H112" i="1"/>
  <c r="I203" i="1" l="1"/>
  <c r="L195" i="1"/>
  <c r="I204" i="1"/>
  <c r="J208" i="1"/>
  <c r="F210" i="1"/>
  <c r="K210" i="1" s="1"/>
  <c r="K204" i="1"/>
  <c r="L204" i="1" s="1"/>
  <c r="L191" i="1"/>
  <c r="L202" i="1"/>
  <c r="L199" i="1"/>
  <c r="L190" i="1"/>
  <c r="J203" i="1"/>
  <c r="L206" i="1"/>
  <c r="K203" i="1"/>
  <c r="L194" i="1"/>
  <c r="K187" i="1"/>
  <c r="L193" i="1"/>
  <c r="L205" i="1"/>
  <c r="I197" i="1"/>
  <c r="F209" i="1"/>
  <c r="K209" i="1" s="1"/>
  <c r="J212" i="1"/>
  <c r="K197" i="1"/>
  <c r="L197" i="1" s="1"/>
  <c r="L201" i="1"/>
  <c r="I208" i="1"/>
  <c r="L200" i="1"/>
  <c r="I186" i="1"/>
  <c r="I210" i="1"/>
  <c r="I196" i="1"/>
  <c r="K212" i="1"/>
  <c r="K211" i="1"/>
  <c r="I189" i="1"/>
  <c r="K208" i="1"/>
  <c r="I188" i="1"/>
  <c r="I192" i="1"/>
  <c r="I187" i="1"/>
  <c r="I209" i="1"/>
  <c r="L198" i="1"/>
  <c r="L189" i="1"/>
  <c r="L186" i="1"/>
  <c r="J187" i="1"/>
  <c r="L188" i="1"/>
  <c r="K192" i="1"/>
  <c r="L192" i="1" s="1"/>
  <c r="K196" i="1"/>
  <c r="L196" i="1" s="1"/>
  <c r="L185" i="1"/>
  <c r="I135" i="1"/>
  <c r="I133" i="1"/>
  <c r="I134" i="1"/>
  <c r="I132" i="1"/>
  <c r="L137" i="1"/>
  <c r="L136" i="1"/>
  <c r="I138" i="1"/>
  <c r="I136" i="1"/>
  <c r="L138" i="1"/>
  <c r="F133" i="1"/>
  <c r="K133" i="1" s="1"/>
  <c r="I137" i="1"/>
  <c r="K135" i="1"/>
  <c r="J135" i="1"/>
  <c r="J132" i="1"/>
  <c r="K132" i="1"/>
  <c r="I30" i="1"/>
  <c r="K30" i="1"/>
  <c r="J30" i="1"/>
  <c r="J130" i="1"/>
  <c r="K130" i="1"/>
  <c r="I130" i="1"/>
  <c r="H120" i="1"/>
  <c r="K120" i="1" s="1"/>
  <c r="H114" i="1"/>
  <c r="K114" i="1" s="1"/>
  <c r="H95" i="1"/>
  <c r="K88" i="1"/>
  <c r="J88" i="1"/>
  <c r="H83" i="1"/>
  <c r="K83" i="1" s="1"/>
  <c r="H82" i="1"/>
  <c r="I82" i="1" s="1"/>
  <c r="H66" i="1"/>
  <c r="K66" i="1" s="1"/>
  <c r="H65" i="1"/>
  <c r="I65" i="1" s="1"/>
  <c r="K182" i="1"/>
  <c r="J182" i="1"/>
  <c r="I182" i="1"/>
  <c r="K181" i="1"/>
  <c r="J181" i="1"/>
  <c r="I181" i="1"/>
  <c r="K180" i="1"/>
  <c r="J180" i="1"/>
  <c r="I180" i="1"/>
  <c r="K179" i="1"/>
  <c r="J179" i="1"/>
  <c r="I179" i="1"/>
  <c r="K178" i="1"/>
  <c r="J178" i="1"/>
  <c r="I178" i="1"/>
  <c r="K177" i="1"/>
  <c r="K176" i="1" s="1"/>
  <c r="J177" i="1"/>
  <c r="J176" i="1" s="1"/>
  <c r="I177" i="1"/>
  <c r="K175" i="1"/>
  <c r="J175" i="1"/>
  <c r="I175" i="1"/>
  <c r="K174" i="1"/>
  <c r="J174" i="1"/>
  <c r="I174" i="1"/>
  <c r="K173" i="1"/>
  <c r="J173" i="1"/>
  <c r="I173" i="1"/>
  <c r="K172" i="1"/>
  <c r="J172" i="1"/>
  <c r="I172" i="1"/>
  <c r="K171" i="1"/>
  <c r="J171" i="1"/>
  <c r="I171" i="1"/>
  <c r="K170" i="1"/>
  <c r="J170" i="1"/>
  <c r="I170" i="1"/>
  <c r="K169" i="1"/>
  <c r="J169" i="1"/>
  <c r="I169" i="1"/>
  <c r="K168" i="1"/>
  <c r="J168" i="1"/>
  <c r="I168" i="1"/>
  <c r="K167" i="1"/>
  <c r="J167" i="1"/>
  <c r="I167" i="1"/>
  <c r="K166" i="1"/>
  <c r="J166" i="1"/>
  <c r="I166" i="1"/>
  <c r="K164" i="1"/>
  <c r="J164" i="1"/>
  <c r="I164" i="1"/>
  <c r="K163" i="1"/>
  <c r="J163" i="1"/>
  <c r="I163" i="1"/>
  <c r="K162" i="1"/>
  <c r="J162" i="1"/>
  <c r="I162" i="1"/>
  <c r="K161" i="1"/>
  <c r="J161" i="1"/>
  <c r="I161" i="1"/>
  <c r="K160" i="1"/>
  <c r="J160" i="1"/>
  <c r="I160" i="1"/>
  <c r="K158" i="1"/>
  <c r="J158" i="1"/>
  <c r="I158" i="1"/>
  <c r="K157" i="1"/>
  <c r="J157" i="1"/>
  <c r="I157" i="1"/>
  <c r="K156" i="1"/>
  <c r="J156" i="1"/>
  <c r="I156" i="1"/>
  <c r="K155" i="1"/>
  <c r="J155" i="1"/>
  <c r="I155" i="1"/>
  <c r="K152" i="1"/>
  <c r="J152" i="1"/>
  <c r="I152" i="1"/>
  <c r="K151" i="1"/>
  <c r="J151" i="1"/>
  <c r="I151" i="1"/>
  <c r="K150" i="1"/>
  <c r="J150" i="1"/>
  <c r="I150" i="1"/>
  <c r="K149" i="1"/>
  <c r="J149" i="1"/>
  <c r="I149" i="1"/>
  <c r="K147" i="1"/>
  <c r="J147" i="1"/>
  <c r="I147" i="1"/>
  <c r="K146" i="1"/>
  <c r="J146" i="1"/>
  <c r="I146" i="1"/>
  <c r="K145" i="1"/>
  <c r="J145" i="1"/>
  <c r="I145" i="1"/>
  <c r="K142" i="1"/>
  <c r="J142" i="1"/>
  <c r="I142" i="1"/>
  <c r="K141" i="1"/>
  <c r="K140" i="1" s="1"/>
  <c r="J141" i="1"/>
  <c r="J140" i="1" s="1"/>
  <c r="I141" i="1"/>
  <c r="K129" i="1"/>
  <c r="J129" i="1"/>
  <c r="I129" i="1"/>
  <c r="K128" i="1"/>
  <c r="J128" i="1"/>
  <c r="I128" i="1"/>
  <c r="K127" i="1"/>
  <c r="J127" i="1"/>
  <c r="I127" i="1"/>
  <c r="K126" i="1"/>
  <c r="J126" i="1"/>
  <c r="I126" i="1"/>
  <c r="K125" i="1"/>
  <c r="J125" i="1"/>
  <c r="I125" i="1"/>
  <c r="K124" i="1"/>
  <c r="J124" i="1"/>
  <c r="I124" i="1"/>
  <c r="K123" i="1"/>
  <c r="J123" i="1"/>
  <c r="I123" i="1"/>
  <c r="K122" i="1"/>
  <c r="J122" i="1"/>
  <c r="I122" i="1"/>
  <c r="K121" i="1"/>
  <c r="J121" i="1"/>
  <c r="I121" i="1"/>
  <c r="J120" i="1"/>
  <c r="K119" i="1"/>
  <c r="J119" i="1"/>
  <c r="I119" i="1"/>
  <c r="K118" i="1"/>
  <c r="J118" i="1"/>
  <c r="I118" i="1"/>
  <c r="K117" i="1"/>
  <c r="J117" i="1"/>
  <c r="I117" i="1"/>
  <c r="K116" i="1"/>
  <c r="J116" i="1"/>
  <c r="I116" i="1"/>
  <c r="K115" i="1"/>
  <c r="J115" i="1"/>
  <c r="I115" i="1"/>
  <c r="J114" i="1"/>
  <c r="K112" i="1"/>
  <c r="J112" i="1"/>
  <c r="I112" i="1"/>
  <c r="K111" i="1"/>
  <c r="J111" i="1"/>
  <c r="I111" i="1"/>
  <c r="K110" i="1"/>
  <c r="J110" i="1"/>
  <c r="I110" i="1"/>
  <c r="K109" i="1"/>
  <c r="J109" i="1"/>
  <c r="I109" i="1"/>
  <c r="K108" i="1"/>
  <c r="J108" i="1"/>
  <c r="I108" i="1"/>
  <c r="K107" i="1"/>
  <c r="J107" i="1"/>
  <c r="I107" i="1"/>
  <c r="K106" i="1"/>
  <c r="J106" i="1"/>
  <c r="I106" i="1"/>
  <c r="K105" i="1"/>
  <c r="J105" i="1"/>
  <c r="I105" i="1"/>
  <c r="K104" i="1"/>
  <c r="J104" i="1"/>
  <c r="I104" i="1"/>
  <c r="K103" i="1"/>
  <c r="J103" i="1"/>
  <c r="I103" i="1"/>
  <c r="K102" i="1"/>
  <c r="J102" i="1"/>
  <c r="I102" i="1"/>
  <c r="K101" i="1"/>
  <c r="J101" i="1"/>
  <c r="I101" i="1"/>
  <c r="K100" i="1"/>
  <c r="J100" i="1"/>
  <c r="I100" i="1"/>
  <c r="K98" i="1"/>
  <c r="J98" i="1"/>
  <c r="I98" i="1"/>
  <c r="K97" i="1"/>
  <c r="J97" i="1"/>
  <c r="I97" i="1"/>
  <c r="K96" i="1"/>
  <c r="J96" i="1"/>
  <c r="I96" i="1"/>
  <c r="J95" i="1"/>
  <c r="K94" i="1"/>
  <c r="J94" i="1"/>
  <c r="I94" i="1"/>
  <c r="K93" i="1"/>
  <c r="J93" i="1"/>
  <c r="I93" i="1"/>
  <c r="K92" i="1"/>
  <c r="J92" i="1"/>
  <c r="I92" i="1"/>
  <c r="K91" i="1"/>
  <c r="J91" i="1"/>
  <c r="I91" i="1"/>
  <c r="K90" i="1"/>
  <c r="J90" i="1"/>
  <c r="I90" i="1"/>
  <c r="K89" i="1"/>
  <c r="J89" i="1"/>
  <c r="I89" i="1"/>
  <c r="K86" i="1"/>
  <c r="J86" i="1"/>
  <c r="I86" i="1"/>
  <c r="K85" i="1"/>
  <c r="J85" i="1"/>
  <c r="I85" i="1"/>
  <c r="K84" i="1"/>
  <c r="J84" i="1"/>
  <c r="I84" i="1"/>
  <c r="J83" i="1"/>
  <c r="J82" i="1"/>
  <c r="K80" i="1"/>
  <c r="J80" i="1"/>
  <c r="I80" i="1"/>
  <c r="K79" i="1"/>
  <c r="J79" i="1"/>
  <c r="I79" i="1"/>
  <c r="K78" i="1"/>
  <c r="J78" i="1"/>
  <c r="I78" i="1"/>
  <c r="K77" i="1"/>
  <c r="I77" i="1"/>
  <c r="K75" i="1"/>
  <c r="J75" i="1"/>
  <c r="I75" i="1"/>
  <c r="K74" i="1"/>
  <c r="J74" i="1"/>
  <c r="I74" i="1"/>
  <c r="K73" i="1"/>
  <c r="J73" i="1"/>
  <c r="I73" i="1"/>
  <c r="K72" i="1"/>
  <c r="J72" i="1"/>
  <c r="I72" i="1"/>
  <c r="K71" i="1"/>
  <c r="J71" i="1"/>
  <c r="I71" i="1"/>
  <c r="K70" i="1"/>
  <c r="J70" i="1"/>
  <c r="I70" i="1"/>
  <c r="K69" i="1"/>
  <c r="J69" i="1"/>
  <c r="I69" i="1"/>
  <c r="K68" i="1"/>
  <c r="J68" i="1"/>
  <c r="I68" i="1"/>
  <c r="K67" i="1"/>
  <c r="J67" i="1"/>
  <c r="I67" i="1"/>
  <c r="J66" i="1"/>
  <c r="J65" i="1"/>
  <c r="K63" i="1"/>
  <c r="J63" i="1"/>
  <c r="I63" i="1"/>
  <c r="K62" i="1"/>
  <c r="J62" i="1"/>
  <c r="I62" i="1"/>
  <c r="K61" i="1"/>
  <c r="J61" i="1"/>
  <c r="I61" i="1"/>
  <c r="K60" i="1"/>
  <c r="J60" i="1"/>
  <c r="I60" i="1"/>
  <c r="K59" i="1"/>
  <c r="J59" i="1"/>
  <c r="I59" i="1"/>
  <c r="K58" i="1"/>
  <c r="J58" i="1"/>
  <c r="I58" i="1"/>
  <c r="K57" i="1"/>
  <c r="J57" i="1"/>
  <c r="I57" i="1"/>
  <c r="K56" i="1"/>
  <c r="J56" i="1"/>
  <c r="I56" i="1"/>
  <c r="K55" i="1"/>
  <c r="J55" i="1"/>
  <c r="I55" i="1"/>
  <c r="K54" i="1"/>
  <c r="J54" i="1"/>
  <c r="I54" i="1"/>
  <c r="K53" i="1"/>
  <c r="J53" i="1"/>
  <c r="I53" i="1"/>
  <c r="K52" i="1"/>
  <c r="J52" i="1"/>
  <c r="I52" i="1"/>
  <c r="K51" i="1"/>
  <c r="J51" i="1"/>
  <c r="I51" i="1"/>
  <c r="K50" i="1"/>
  <c r="J50" i="1"/>
  <c r="I50" i="1"/>
  <c r="K49" i="1"/>
  <c r="J49" i="1"/>
  <c r="I49" i="1"/>
  <c r="K48" i="1"/>
  <c r="J48" i="1"/>
  <c r="I48" i="1"/>
  <c r="K47" i="1"/>
  <c r="J47" i="1"/>
  <c r="I47" i="1"/>
  <c r="K46" i="1"/>
  <c r="J46" i="1"/>
  <c r="I46" i="1"/>
  <c r="K45" i="1"/>
  <c r="J45" i="1"/>
  <c r="I45" i="1"/>
  <c r="K44" i="1"/>
  <c r="J44" i="1"/>
  <c r="I44" i="1"/>
  <c r="K43" i="1"/>
  <c r="J43" i="1"/>
  <c r="I43" i="1"/>
  <c r="K42" i="1"/>
  <c r="J42" i="1"/>
  <c r="I42" i="1"/>
  <c r="K41" i="1"/>
  <c r="J41" i="1"/>
  <c r="I41" i="1"/>
  <c r="K40" i="1"/>
  <c r="J40" i="1"/>
  <c r="I40" i="1"/>
  <c r="K39" i="1"/>
  <c r="J39" i="1"/>
  <c r="I39" i="1"/>
  <c r="K38" i="1"/>
  <c r="J38" i="1"/>
  <c r="I38" i="1"/>
  <c r="K36" i="1"/>
  <c r="J36" i="1"/>
  <c r="I36" i="1"/>
  <c r="K35" i="1"/>
  <c r="J35" i="1"/>
  <c r="I35" i="1"/>
  <c r="K34" i="1"/>
  <c r="J34" i="1"/>
  <c r="I34" i="1"/>
  <c r="K33" i="1"/>
  <c r="J33" i="1"/>
  <c r="I33" i="1"/>
  <c r="K32" i="1"/>
  <c r="J32" i="1"/>
  <c r="I32" i="1"/>
  <c r="K29" i="1"/>
  <c r="J29" i="1"/>
  <c r="I29" i="1"/>
  <c r="K28" i="1"/>
  <c r="J28" i="1"/>
  <c r="I28" i="1"/>
  <c r="K27" i="1"/>
  <c r="J27" i="1"/>
  <c r="I27" i="1"/>
  <c r="K26" i="1"/>
  <c r="J26" i="1"/>
  <c r="I26" i="1"/>
  <c r="K25" i="1"/>
  <c r="J25" i="1"/>
  <c r="I25" i="1"/>
  <c r="K24" i="1"/>
  <c r="J24" i="1"/>
  <c r="I24" i="1"/>
  <c r="K23" i="1"/>
  <c r="K22" i="1" s="1"/>
  <c r="J23" i="1"/>
  <c r="I23" i="1"/>
  <c r="I17" i="1"/>
  <c r="I18" i="1"/>
  <c r="I19" i="1"/>
  <c r="I20" i="1"/>
  <c r="I21" i="1"/>
  <c r="I16" i="1"/>
  <c r="I13" i="1"/>
  <c r="I12" i="1"/>
  <c r="J17" i="1"/>
  <c r="K17" i="1"/>
  <c r="J18" i="1"/>
  <c r="K18" i="1"/>
  <c r="J19" i="1"/>
  <c r="K19" i="1"/>
  <c r="J20" i="1"/>
  <c r="K20" i="1"/>
  <c r="J21" i="1"/>
  <c r="K21" i="1"/>
  <c r="K16" i="1"/>
  <c r="J16" i="1"/>
  <c r="K13" i="1"/>
  <c r="K12" i="1"/>
  <c r="J13" i="1"/>
  <c r="J12" i="1"/>
  <c r="K184" i="1" l="1"/>
  <c r="K15" i="1"/>
  <c r="L211" i="1"/>
  <c r="K207" i="1"/>
  <c r="J184" i="1"/>
  <c r="L208" i="1"/>
  <c r="J210" i="1"/>
  <c r="L210" i="1" s="1"/>
  <c r="L203" i="1"/>
  <c r="L187" i="1"/>
  <c r="L184" i="1" s="1"/>
  <c r="J209" i="1"/>
  <c r="J207" i="1" s="1"/>
  <c r="L212" i="1"/>
  <c r="K95" i="1"/>
  <c r="K87" i="1" s="1"/>
  <c r="J133" i="1"/>
  <c r="L133" i="1" s="1"/>
  <c r="F134" i="1"/>
  <c r="L132" i="1"/>
  <c r="L135" i="1"/>
  <c r="L30" i="1"/>
  <c r="K65" i="1"/>
  <c r="K64" i="1" s="1"/>
  <c r="L80" i="1"/>
  <c r="L83" i="1"/>
  <c r="L130" i="1"/>
  <c r="I95" i="1"/>
  <c r="I66" i="1"/>
  <c r="K82" i="1"/>
  <c r="L82" i="1" s="1"/>
  <c r="K99" i="1"/>
  <c r="L12" i="1"/>
  <c r="L19" i="1"/>
  <c r="J113" i="1"/>
  <c r="K76" i="1"/>
  <c r="I83" i="1"/>
  <c r="I88" i="1"/>
  <c r="K148" i="1"/>
  <c r="L90" i="1"/>
  <c r="I120" i="1"/>
  <c r="L20" i="1"/>
  <c r="L27" i="1"/>
  <c r="I114" i="1"/>
  <c r="L96" i="1"/>
  <c r="L163" i="1"/>
  <c r="L26" i="1"/>
  <c r="L91" i="1"/>
  <c r="L93" i="1"/>
  <c r="L162" i="1"/>
  <c r="L17" i="1"/>
  <c r="J144" i="1"/>
  <c r="L164" i="1"/>
  <c r="L173" i="1"/>
  <c r="L29" i="1"/>
  <c r="L33" i="1"/>
  <c r="L35" i="1"/>
  <c r="L38" i="1"/>
  <c r="L40" i="1"/>
  <c r="L42" i="1"/>
  <c r="L44" i="1"/>
  <c r="L46" i="1"/>
  <c r="L48" i="1"/>
  <c r="L50" i="1"/>
  <c r="L52" i="1"/>
  <c r="L54" i="1"/>
  <c r="L56" i="1"/>
  <c r="L58" i="1"/>
  <c r="L60" i="1"/>
  <c r="L62" i="1"/>
  <c r="L67" i="1"/>
  <c r="L71" i="1"/>
  <c r="L73" i="1"/>
  <c r="L75" i="1"/>
  <c r="K144" i="1"/>
  <c r="L175" i="1"/>
  <c r="K11" i="1"/>
  <c r="L21" i="1"/>
  <c r="J31" i="1"/>
  <c r="L166" i="1"/>
  <c r="L172" i="1"/>
  <c r="L171" i="1"/>
  <c r="L18" i="1"/>
  <c r="L86" i="1"/>
  <c r="L104" i="1"/>
  <c r="L110" i="1"/>
  <c r="L34" i="1"/>
  <c r="L45" i="1"/>
  <c r="L61" i="1"/>
  <c r="L89" i="1"/>
  <c r="J148" i="1"/>
  <c r="J154" i="1"/>
  <c r="J159" i="1"/>
  <c r="L174" i="1"/>
  <c r="L181" i="1"/>
  <c r="L32" i="1"/>
  <c r="L41" i="1"/>
  <c r="L55" i="1"/>
  <c r="L13" i="1"/>
  <c r="L169" i="1"/>
  <c r="J11" i="1"/>
  <c r="L28" i="1"/>
  <c r="L39" i="1"/>
  <c r="L59" i="1"/>
  <c r="L24" i="1"/>
  <c r="J81" i="1"/>
  <c r="L36" i="1"/>
  <c r="L43" i="1"/>
  <c r="L47" i="1"/>
  <c r="L49" i="1"/>
  <c r="L51" i="1"/>
  <c r="L53" i="1"/>
  <c r="L57" i="1"/>
  <c r="L63" i="1"/>
  <c r="L66" i="1"/>
  <c r="L68" i="1"/>
  <c r="L70" i="1"/>
  <c r="L92" i="1"/>
  <c r="L98" i="1"/>
  <c r="L103" i="1"/>
  <c r="L105" i="1"/>
  <c r="L109" i="1"/>
  <c r="L111" i="1"/>
  <c r="L114" i="1"/>
  <c r="L116" i="1"/>
  <c r="L118" i="1"/>
  <c r="L120" i="1"/>
  <c r="L122" i="1"/>
  <c r="L124" i="1"/>
  <c r="L126" i="1"/>
  <c r="L128" i="1"/>
  <c r="L147" i="1"/>
  <c r="L150" i="1"/>
  <c r="L152" i="1"/>
  <c r="L156" i="1"/>
  <c r="L158" i="1"/>
  <c r="L161" i="1"/>
  <c r="J165" i="1"/>
  <c r="L78" i="1"/>
  <c r="L84" i="1"/>
  <c r="L94" i="1"/>
  <c r="L101" i="1"/>
  <c r="L107" i="1"/>
  <c r="L145" i="1"/>
  <c r="L167" i="1"/>
  <c r="L177" i="1"/>
  <c r="L179" i="1"/>
  <c r="K165" i="1"/>
  <c r="L16" i="1"/>
  <c r="L141" i="1"/>
  <c r="L182" i="1"/>
  <c r="K159" i="1"/>
  <c r="L23" i="1"/>
  <c r="L72" i="1"/>
  <c r="L85" i="1"/>
  <c r="L168" i="1"/>
  <c r="L178" i="1"/>
  <c r="K37" i="1"/>
  <c r="L25" i="1"/>
  <c r="L74" i="1"/>
  <c r="L77" i="1"/>
  <c r="K154" i="1"/>
  <c r="K31" i="1"/>
  <c r="L69" i="1"/>
  <c r="L79" i="1"/>
  <c r="L88" i="1"/>
  <c r="L97" i="1"/>
  <c r="L100" i="1"/>
  <c r="L102" i="1"/>
  <c r="L106" i="1"/>
  <c r="L108" i="1"/>
  <c r="L112" i="1"/>
  <c r="L115" i="1"/>
  <c r="L117" i="1"/>
  <c r="L119" i="1"/>
  <c r="L121" i="1"/>
  <c r="L123" i="1"/>
  <c r="L125" i="1"/>
  <c r="L127" i="1"/>
  <c r="L129" i="1"/>
  <c r="L142" i="1"/>
  <c r="L146" i="1"/>
  <c r="L149" i="1"/>
  <c r="L151" i="1"/>
  <c r="L155" i="1"/>
  <c r="L157" i="1"/>
  <c r="L160" i="1"/>
  <c r="L170" i="1"/>
  <c r="L180" i="1"/>
  <c r="L176" i="1" l="1"/>
  <c r="J14" i="1"/>
  <c r="L140" i="1"/>
  <c r="L209" i="1"/>
  <c r="L207" i="1" s="1"/>
  <c r="L95" i="1"/>
  <c r="L87" i="1" s="1"/>
  <c r="K134" i="1"/>
  <c r="J134" i="1"/>
  <c r="J131" i="1" s="1"/>
  <c r="K81" i="1"/>
  <c r="L65" i="1"/>
  <c r="L64" i="1" s="1"/>
  <c r="J143" i="1"/>
  <c r="L22" i="1"/>
  <c r="K143" i="1"/>
  <c r="L113" i="1"/>
  <c r="L11" i="1"/>
  <c r="C13" i="2" s="1"/>
  <c r="L31" i="1"/>
  <c r="L37" i="1"/>
  <c r="J153" i="1"/>
  <c r="K153" i="1"/>
  <c r="L154" i="1"/>
  <c r="L99" i="1"/>
  <c r="L76" i="1"/>
  <c r="L15" i="1"/>
  <c r="L144" i="1"/>
  <c r="L165" i="1"/>
  <c r="L148" i="1"/>
  <c r="L81" i="1"/>
  <c r="L159" i="1"/>
  <c r="J139" i="1" l="1"/>
  <c r="K139" i="1"/>
  <c r="G13" i="2"/>
  <c r="K13" i="2"/>
  <c r="I13" i="2"/>
  <c r="E13" i="2"/>
  <c r="J213" i="1"/>
  <c r="L134" i="1"/>
  <c r="L131" i="1" s="1"/>
  <c r="L14" i="1" s="1"/>
  <c r="C14" i="2" s="1"/>
  <c r="K131" i="1"/>
  <c r="K14" i="1" s="1"/>
  <c r="L143" i="1"/>
  <c r="L153" i="1"/>
  <c r="K213" i="1" l="1"/>
  <c r="L139" i="1"/>
  <c r="C15" i="2" s="1"/>
  <c r="E15" i="2" s="1"/>
  <c r="K14" i="2"/>
  <c r="E14" i="2"/>
  <c r="G14" i="2"/>
  <c r="I14" i="2"/>
  <c r="L213" i="1"/>
  <c r="C16" i="2" l="1"/>
  <c r="D14" i="2" s="1"/>
  <c r="K15" i="2"/>
  <c r="K16" i="2" s="1"/>
  <c r="G15" i="2"/>
  <c r="G16" i="2" s="1"/>
  <c r="I15" i="2"/>
  <c r="I16" i="2" s="1"/>
  <c r="M204" i="1"/>
  <c r="M183" i="1"/>
  <c r="E16" i="2"/>
  <c r="M191" i="1"/>
  <c r="M190" i="1"/>
  <c r="M195" i="1"/>
  <c r="M193" i="1"/>
  <c r="M194" i="1"/>
  <c r="M213" i="1"/>
  <c r="M206" i="1"/>
  <c r="M209" i="1"/>
  <c r="M210" i="1"/>
  <c r="M211" i="1"/>
  <c r="M212" i="1"/>
  <c r="M208" i="1"/>
  <c r="M156" i="1"/>
  <c r="M138" i="1"/>
  <c r="M63" i="1"/>
  <c r="M140" i="1"/>
  <c r="M147" i="1"/>
  <c r="M68" i="1"/>
  <c r="M83" i="1"/>
  <c r="M107" i="1"/>
  <c r="M173" i="1"/>
  <c r="M57" i="1"/>
  <c r="M175" i="1"/>
  <c r="M16" i="1"/>
  <c r="M146" i="1"/>
  <c r="M139" i="1"/>
  <c r="M207" i="1"/>
  <c r="M84" i="1"/>
  <c r="M118" i="1"/>
  <c r="M189" i="1"/>
  <c r="M199" i="1"/>
  <c r="M200" i="1"/>
  <c r="M203" i="1"/>
  <c r="M202" i="1"/>
  <c r="M201" i="1"/>
  <c r="M198" i="1"/>
  <c r="M205" i="1"/>
  <c r="M33" i="1"/>
  <c r="M94" i="1"/>
  <c r="M126" i="1"/>
  <c r="M52" i="1"/>
  <c r="M11" i="1"/>
  <c r="M58" i="1"/>
  <c r="M174" i="1"/>
  <c r="M87" i="1"/>
  <c r="M36" i="1"/>
  <c r="M35" i="1"/>
  <c r="M141" i="1"/>
  <c r="M70" i="1"/>
  <c r="M165" i="1"/>
  <c r="M127" i="1"/>
  <c r="M62" i="1"/>
  <c r="M49" i="1"/>
  <c r="M45" i="1"/>
  <c r="M115" i="1"/>
  <c r="M37" i="1"/>
  <c r="M177" i="1"/>
  <c r="M179" i="1"/>
  <c r="M155" i="1"/>
  <c r="M74" i="1"/>
  <c r="M129" i="1"/>
  <c r="M15" i="1"/>
  <c r="M85" i="1"/>
  <c r="M96" i="1"/>
  <c r="M103" i="1"/>
  <c r="M122" i="1"/>
  <c r="M29" i="1"/>
  <c r="M64" i="1"/>
  <c r="M72" i="1"/>
  <c r="M90" i="1"/>
  <c r="M22" i="1"/>
  <c r="M44" i="1"/>
  <c r="M41" i="1"/>
  <c r="M159" i="1"/>
  <c r="M149" i="1"/>
  <c r="M108" i="1"/>
  <c r="M14" i="1"/>
  <c r="M93" i="1"/>
  <c r="M13" i="1"/>
  <c r="M51" i="1"/>
  <c r="M66" i="1"/>
  <c r="M186" i="1"/>
  <c r="M187" i="1"/>
  <c r="M104" i="1"/>
  <c r="M43" i="1"/>
  <c r="M106" i="1"/>
  <c r="M42" i="1"/>
  <c r="M31" i="1"/>
  <c r="M185" i="1"/>
  <c r="M121" i="1"/>
  <c r="M105" i="1"/>
  <c r="M164" i="1"/>
  <c r="M114" i="1"/>
  <c r="M170" i="1"/>
  <c r="M167" i="1"/>
  <c r="M101" i="1"/>
  <c r="M30" i="1"/>
  <c r="M184" i="1"/>
  <c r="M56" i="1"/>
  <c r="M116" i="1"/>
  <c r="M21" i="1"/>
  <c r="M172" i="1"/>
  <c r="M77" i="1"/>
  <c r="M73" i="1"/>
  <c r="M166" i="1"/>
  <c r="M163" i="1"/>
  <c r="M100" i="1"/>
  <c r="M32" i="1"/>
  <c r="M60" i="1"/>
  <c r="M46" i="1"/>
  <c r="M162" i="1"/>
  <c r="M196" i="1"/>
  <c r="M25" i="1"/>
  <c r="M20" i="1"/>
  <c r="M80" i="1"/>
  <c r="M61" i="1"/>
  <c r="M182" i="1"/>
  <c r="M117" i="1"/>
  <c r="M27" i="1"/>
  <c r="M188" i="1"/>
  <c r="M24" i="1"/>
  <c r="M110" i="1"/>
  <c r="M71" i="1"/>
  <c r="M99" i="1"/>
  <c r="M28" i="1"/>
  <c r="M169" i="1"/>
  <c r="M23" i="1"/>
  <c r="M81" i="1"/>
  <c r="M130" i="1"/>
  <c r="M145" i="1"/>
  <c r="M135" i="1"/>
  <c r="M180" i="1"/>
  <c r="M128" i="1"/>
  <c r="M154" i="1"/>
  <c r="M148" i="1"/>
  <c r="M47" i="1"/>
  <c r="M153" i="1"/>
  <c r="M178" i="1"/>
  <c r="M88" i="1"/>
  <c r="M134" i="1"/>
  <c r="M143" i="1"/>
  <c r="M142" i="1"/>
  <c r="M18" i="1"/>
  <c r="M197" i="1"/>
  <c r="M161" i="1"/>
  <c r="M79" i="1"/>
  <c r="M158" i="1"/>
  <c r="M86" i="1"/>
  <c r="M95" i="1"/>
  <c r="M136" i="1"/>
  <c r="M92" i="1"/>
  <c r="M59" i="1"/>
  <c r="M181" i="1"/>
  <c r="M125" i="1"/>
  <c r="M144" i="1"/>
  <c r="M78" i="1"/>
  <c r="M171" i="1"/>
  <c r="M132" i="1"/>
  <c r="M123" i="1"/>
  <c r="M38" i="1"/>
  <c r="M120" i="1"/>
  <c r="M113" i="1"/>
  <c r="M111" i="1"/>
  <c r="M160" i="1"/>
  <c r="M119" i="1"/>
  <c r="M17" i="1"/>
  <c r="M91" i="1"/>
  <c r="M89" i="1"/>
  <c r="M75" i="1"/>
  <c r="M168" i="1"/>
  <c r="M192" i="1"/>
  <c r="M55" i="1"/>
  <c r="M54" i="1"/>
  <c r="M50" i="1"/>
  <c r="M19" i="1"/>
  <c r="M26" i="1"/>
  <c r="M65" i="1"/>
  <c r="M98" i="1"/>
  <c r="M97" i="1"/>
  <c r="M39" i="1"/>
  <c r="M176" i="1"/>
  <c r="M40" i="1"/>
  <c r="M34" i="1"/>
  <c r="M69" i="1"/>
  <c r="M133" i="1"/>
  <c r="M76" i="1"/>
  <c r="M152" i="1"/>
  <c r="M53" i="1"/>
  <c r="M112" i="1"/>
  <c r="M12" i="1"/>
  <c r="M102" i="1"/>
  <c r="M157" i="1"/>
  <c r="M137" i="1"/>
  <c r="M124" i="1"/>
  <c r="M109" i="1"/>
  <c r="M67" i="1"/>
  <c r="M48" i="1"/>
  <c r="M151" i="1"/>
  <c r="M82" i="1"/>
  <c r="M150" i="1"/>
  <c r="H16" i="2" l="1"/>
  <c r="D13" i="2"/>
  <c r="D15" i="2"/>
  <c r="L16" i="2"/>
  <c r="D16" i="2"/>
  <c r="J16" i="2"/>
  <c r="F16" i="2"/>
  <c r="M131" i="1"/>
</calcChain>
</file>

<file path=xl/sharedStrings.xml><?xml version="1.0" encoding="utf-8"?>
<sst xmlns="http://schemas.openxmlformats.org/spreadsheetml/2006/main" count="896" uniqueCount="516">
  <si>
    <t>Obra</t>
  </si>
  <si>
    <t>Bancos</t>
  </si>
  <si>
    <t>B.D.I.</t>
  </si>
  <si>
    <t>Encargos Sociais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</si>
  <si>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</si>
  <si>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</si>
  <si>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</si>
  <si>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</si>
  <si>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</si>
  <si>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</si>
  <si>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</si>
  <si>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</si>
  <si>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</si>
  <si>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>Peso (%)</t>
  </si>
  <si>
    <t>M. O.</t>
  </si>
  <si>
    <t>MAT.</t>
  </si>
  <si>
    <t xml:space="preserve"> 1 </t>
  </si>
  <si>
    <t>SERVIÇOS PRELIMINARES</t>
  </si>
  <si>
    <t xml:space="preserve"> 1.2 </t>
  </si>
  <si>
    <t xml:space="preserve"> 022061 </t>
  </si>
  <si>
    <t>SBC</t>
  </si>
  <si>
    <t>DEMOLICAO ALVENARIA ESPESSURA 15cm PARA REMOCAO</t>
  </si>
  <si>
    <t>m³</t>
  </si>
  <si>
    <t xml:space="preserve"> 95875 </t>
  </si>
  <si>
    <t>SINAPI</t>
  </si>
  <si>
    <t>TRANSPORTE COM CAMINHÃO BASCULANTE DE 10 M³, EM VIA URBANA PAVIMENTADA, DMT ATÉ 30 KM (UNIDADE: M3XKM). AF_07/2020</t>
  </si>
  <si>
    <t>M3XKM</t>
  </si>
  <si>
    <t xml:space="preserve"> 2 </t>
  </si>
  <si>
    <t>SERVIÇOS PRÉDIO ADMINISTRATIVO</t>
  </si>
  <si>
    <t xml:space="preserve"> 2.1 </t>
  </si>
  <si>
    <t>PISOS</t>
  </si>
  <si>
    <t xml:space="preserve"> 2.1.1 </t>
  </si>
  <si>
    <t xml:space="preserve"> 97634 </t>
  </si>
  <si>
    <t>DEMOLIÇÃO DE REVESTIMENTO CERÂMICO, DE FORMA MECANIZADA COM MARTELETE, SEM REAPROVEITAMENTO. AF_12/2017</t>
  </si>
  <si>
    <t>m²</t>
  </si>
  <si>
    <t xml:space="preserve"> 2.1.2 </t>
  </si>
  <si>
    <t xml:space="preserve"> 87263 </t>
  </si>
  <si>
    <t>REVESTIMENTO CERÂMICO PARA PISO COM PLACAS TIPO PORCELANATO DE DIMENSÕES 60X60 CM APLICADA EM AMBIENTES DE ÁREA MAIOR QUE 10 M². AF_02/2023_PE</t>
  </si>
  <si>
    <t xml:space="preserve"> 2.1.3 </t>
  </si>
  <si>
    <t xml:space="preserve"> 88650 </t>
  </si>
  <si>
    <t>RODAPÉ CERÂMICO DE 7CM DE ALTURA COM PLACAS TIPO ESMALTADA EXTRA DE DIMENSÕES 60X60CM. AF_02/2023</t>
  </si>
  <si>
    <t>M</t>
  </si>
  <si>
    <t xml:space="preserve"> 2.1.4 </t>
  </si>
  <si>
    <t xml:space="preserve"> 022140 </t>
  </si>
  <si>
    <t>DEMOLICAO CONCRETO SIMPLES ATE 0,5M3</t>
  </si>
  <si>
    <t xml:space="preserve"> 2.1.5 </t>
  </si>
  <si>
    <t xml:space="preserve"> 90952 </t>
  </si>
  <si>
    <t>CONTRAPISO ACÚSTICO EM ARGAMASSA TRAÇO 1:4 (CIMENTO E AREIA), PREPARO MANUAL, APLICADO EM ÁREAS SECAS, ACABAMENTO NÃO REFORÇADO, ESPESSURA 7CM. AF_07/2021</t>
  </si>
  <si>
    <t xml:space="preserve"> 88476 </t>
  </si>
  <si>
    <t xml:space="preserve"> 2.2 </t>
  </si>
  <si>
    <t>DIVISORIAS</t>
  </si>
  <si>
    <t xml:space="preserve"> 2.2.1 </t>
  </si>
  <si>
    <t xml:space="preserve"> 103330 </t>
  </si>
  <si>
    <t>ALVENARIA DE VEDAÇÃO DE BLOCOS CERÂMICOS FURADOS NA HORIZONTAL DE 11,5X19X19 CM (ESPESSURA 11,5 CM) E ARGAMASSA DE ASSENTAMENTO COM PREPARO EM BETONEIRA. AF_12/2021</t>
  </si>
  <si>
    <t xml:space="preserve"> 2.2.2 </t>
  </si>
  <si>
    <t xml:space="preserve"> 87905 </t>
  </si>
  <si>
    <t>CHAPISCO APLICADO EM ALVENARIA (COM PRESENÇA DE VÃOS) E ESTRUTURAS DE CONCRETO DE FACHADA, COM COLHER DE PEDREIRO.  ARGAMASSA TRAÇO 1:3 COM PREPARO EM BETONEIRA 400L. AF_10/2022</t>
  </si>
  <si>
    <t xml:space="preserve"> 2.2.3 </t>
  </si>
  <si>
    <t xml:space="preserve"> 94224 </t>
  </si>
  <si>
    <t>EMBOÇAMENTO COM ARGAMASSA TRAÇO 1:2:9 (CIMENTO, CAL E AREIA). AF_07/2019</t>
  </si>
  <si>
    <t xml:space="preserve"> 2.2.4 </t>
  </si>
  <si>
    <t xml:space="preserve"> 120011 </t>
  </si>
  <si>
    <t>REBOCO 5mm PAREDES COM ARGAMASSA CAL/CIMENTO E AREIA 1:1:12</t>
  </si>
  <si>
    <t xml:space="preserve"> 2.2.5 </t>
  </si>
  <si>
    <t xml:space="preserve"> 87269 </t>
  </si>
  <si>
    <t>REVESTIMENTO CERÂMICO PARA PAREDES INTERNAS COM PLACAS TIPO ESMALTADA EXTRA DE DIMENSÕES 25X35 CM APLICADAS NA ALTURA INTEIRA DAS PAREDES. AF_02/2023_PE</t>
  </si>
  <si>
    <t xml:space="preserve"> 2.2.9 </t>
  </si>
  <si>
    <t xml:space="preserve"> 93188 </t>
  </si>
  <si>
    <t>VERGA MOLDADA IN LOCO EM CONCRETO PARA PORTAS COM ATÉ 1,5 M DE VÃO. AF_03/2016</t>
  </si>
  <si>
    <t xml:space="preserve"> 2.2.10 </t>
  </si>
  <si>
    <t xml:space="preserve"> 95623 </t>
  </si>
  <si>
    <t>APLICAÇÃO MANUAL DE TINTA LÁTEX ACRÍLICA EM PANOS SEM PRESENÇA DE VÃOS DE EDIFÍCIOS DE MÚLTIPLOS PAVIMENTOS, DUAS DEMÃOS. AF_11/2016</t>
  </si>
  <si>
    <t xml:space="preserve"> 2.3 </t>
  </si>
  <si>
    <t>FORRO</t>
  </si>
  <si>
    <t xml:space="preserve"> 2.3.1 </t>
  </si>
  <si>
    <t xml:space="preserve"> 97641 </t>
  </si>
  <si>
    <t>REMOÇÃO DE FORRO DE GESSO, DE FORMA MANUAL, SEM REAPROVEITAMENTO. AF_12/2017</t>
  </si>
  <si>
    <t xml:space="preserve"> 2.3.2 </t>
  </si>
  <si>
    <t xml:space="preserve"> 96111 </t>
  </si>
  <si>
    <t>FORRO EM RÉGUAS DE PVC, FRISADO, PARA AMBIENTES RESIDENCIAIS, INCLUSIVE ESTRUTURA DE FIXAÇÃO. AF_05/2017_PS</t>
  </si>
  <si>
    <t xml:space="preserve"> 2.3.3 </t>
  </si>
  <si>
    <t xml:space="preserve"> 090805 </t>
  </si>
  <si>
    <t xml:space="preserve"> 2.3.4 </t>
  </si>
  <si>
    <t xml:space="preserve"> 88496 </t>
  </si>
  <si>
    <t>EMASSAMENTO COM MASSA LÁTEX, APLICAÇÃO EM TETO, DUAS DEMÃOS, LIXAMENTO MANUAL. AF_04/2023</t>
  </si>
  <si>
    <t xml:space="preserve"> 2.3.5 </t>
  </si>
  <si>
    <t xml:space="preserve"> 88488 </t>
  </si>
  <si>
    <t>PINTURA LÁTEX ACRÍLICA PREMIUM, APLICAÇÃO MANUAL EM TETO, DUAS DEMÃOS. AF_04/2023</t>
  </si>
  <si>
    <t xml:space="preserve"> 2.4 </t>
  </si>
  <si>
    <t>REDE ELETRICA - Força</t>
  </si>
  <si>
    <t xml:space="preserve"> 2.4.1 </t>
  </si>
  <si>
    <t xml:space="preserve"> 93654 </t>
  </si>
  <si>
    <t>DISJUNTOR MONOPOLAR TIPO DIN, CORRENTE NOMINAL DE 16A - FORNECIMENTO E INSTALAÇÃO. AF_10/2020</t>
  </si>
  <si>
    <t>UN</t>
  </si>
  <si>
    <t xml:space="preserve"> 2.4.2 </t>
  </si>
  <si>
    <t xml:space="preserve"> 93655 </t>
  </si>
  <si>
    <t>DISJUNTOR MONOPOLAR TIPO DIN, CORRENTE NOMINAL DE 20A - FORNECIMENTO E INSTALAÇÃO. AF_10/2020</t>
  </si>
  <si>
    <t xml:space="preserve"> 2.4.3 </t>
  </si>
  <si>
    <t xml:space="preserve"> 93656 </t>
  </si>
  <si>
    <t>DISJUNTOR MONOPOLAR TIPO DIN, CORRENTE NOMINAL DE 25A - FORNECIMENTO E INSTALAÇÃO. AF_10/2020</t>
  </si>
  <si>
    <t xml:space="preserve"> 2.4.4 </t>
  </si>
  <si>
    <t xml:space="preserve"> 93657 </t>
  </si>
  <si>
    <t>DISJUNTOR MONOPOLAR TIPO DIN, CORRENTE NOMINAL DE 32A - FORNECIMENTO E INSTALAÇÃO. AF_10/2020</t>
  </si>
  <si>
    <t xml:space="preserve"> 2.4.5 </t>
  </si>
  <si>
    <t xml:space="preserve"> 101894 </t>
  </si>
  <si>
    <t>DISJUNTOR TRIPOLAR TIPO NEMA, CORRENTE NOMINAL DE 60 ATÉ 100A - FORNECIMENTO E INSTALAÇÃO. AF_10/2020</t>
  </si>
  <si>
    <t xml:space="preserve"> 2.4.7 </t>
  </si>
  <si>
    <t xml:space="preserve"> 064816 </t>
  </si>
  <si>
    <t>DISPOSITIVO DIFERENCIAL DR ALTA SENSIB.(30mA) TETRAPOLAR 25A</t>
  </si>
  <si>
    <t xml:space="preserve"> 2.4.8 </t>
  </si>
  <si>
    <t xml:space="preserve"> 064720 </t>
  </si>
  <si>
    <t>DISPOSITIVO DIFERENCIAL DR ALTA SENSIB.(30mA) BIPOLAR 63A</t>
  </si>
  <si>
    <t xml:space="preserve"> 2.4.9 </t>
  </si>
  <si>
    <t xml:space="preserve"> 064564 </t>
  </si>
  <si>
    <t>DISPOSITIVO PROTETOR DE SURTO 220V OU 127V, 40 KA, TRIFASICO</t>
  </si>
  <si>
    <t xml:space="preserve"> 2.4.10 </t>
  </si>
  <si>
    <t xml:space="preserve"> 91996 </t>
  </si>
  <si>
    <t>TOMADA MÉDIA DE EMBUTIR (1 MÓDULO), 2P+T 10 A, INCLUINDO SUPORTE E PLACA - FORNECIMENTO E INSTALAÇÃO. AF_03/2023</t>
  </si>
  <si>
    <t xml:space="preserve"> 2.4.11 </t>
  </si>
  <si>
    <t xml:space="preserve"> 92004 </t>
  </si>
  <si>
    <t>TOMADA MÉDIA DE EMBUTIR (2 MÓDULOS), 2P+T 10 A, INCLUINDO SUPORTE E PLACA - FORNECIMENTO E INSTALAÇÃO. AF_03/2023</t>
  </si>
  <si>
    <t xml:space="preserve"> 2.4.12 </t>
  </si>
  <si>
    <t xml:space="preserve"> 91871 </t>
  </si>
  <si>
    <t>ELETRODUTO RÍGIDO ROSCÁVEL, PVC, DN 25 MM (3/4"), PARA CIRCUITOS TERMINAIS, INSTALADO EM PAREDE - FORNECIMENTO E INSTALAÇÃO. AF_03/2023</t>
  </si>
  <si>
    <t xml:space="preserve"> 2.4.13 </t>
  </si>
  <si>
    <t xml:space="preserve"> 91872 </t>
  </si>
  <si>
    <t>ELETRODUTO RÍGIDO ROSCÁVEL, PVC, DN 32 MM (1"), PARA CIRCUITOS TERMINAIS, INSTALADO EM PAREDE - FORNECIMENTO E INSTALAÇÃO. AF_03/2023</t>
  </si>
  <si>
    <t xml:space="preserve"> 2.4.14 </t>
  </si>
  <si>
    <t xml:space="preserve"> 91873 </t>
  </si>
  <si>
    <t>ELETRODUTO RÍGIDO ROSCÁVEL, PVC, DN 40 MM (1 1/4"), PARA CIRCUITOS TERMINAIS, INSTALADO EM PAREDE - FORNECIMENTO E INSTALAÇÃO. AF_03/2023</t>
  </si>
  <si>
    <t xml:space="preserve"> 2.4.15 </t>
  </si>
  <si>
    <t xml:space="preserve"> 91926 </t>
  </si>
  <si>
    <t>CABO DE COBRE FLEXÍVEL ISOLADO, 2,5 MM², ANTI-CHAMA 450/750 V, PARA CIRCUITOS TERMINAIS - FORNECIMENTO E INSTALAÇÃO. AF_03/2023</t>
  </si>
  <si>
    <t xml:space="preserve"> 2.4.16 </t>
  </si>
  <si>
    <t xml:space="preserve"> 91928 </t>
  </si>
  <si>
    <t>CABO DE COBRE FLEXÍVEL ISOLADO, 4 MM², ANTI-CHAMA 450/750 V, PARA CIRCUITOS TERMINAIS - FORNECIMENTO E INSTALAÇÃO. AF_03/2023</t>
  </si>
  <si>
    <t xml:space="preserve"> 2.4.17 </t>
  </si>
  <si>
    <t xml:space="preserve"> 91930 </t>
  </si>
  <si>
    <t>CABO DE COBRE FLEXÍVEL ISOLADO, 6 MM², ANTI-CHAMA 450/750 V, PARA CIRCUITOS TERMINAIS - FORNECIMENTO E INSTALAÇÃO. AF_03/2023</t>
  </si>
  <si>
    <t xml:space="preserve"> 2.4.18 </t>
  </si>
  <si>
    <t xml:space="preserve"> 92982 </t>
  </si>
  <si>
    <t>CABO DE COBRE FLEXÍVEL ISOLADO, 16 MM², ANTI-CHAMA 0,6/1,0 KV, PARA DISTRIBUIÇÃO - FORNECIMENTO E INSTALAÇÃO. AF_12/2015</t>
  </si>
  <si>
    <t xml:space="preserve"> 2.4.19 </t>
  </si>
  <si>
    <t xml:space="preserve"> 96985 </t>
  </si>
  <si>
    <t>HASTE DE ATERRAMENTO 5/8  PARA SPDA - FORNECIMENTO E INSTALAÇÃO. AF_12/2017</t>
  </si>
  <si>
    <t xml:space="preserve"> 2.4.20 </t>
  </si>
  <si>
    <t xml:space="preserve"> 72250 </t>
  </si>
  <si>
    <t>CABO DE COBRE NU 10MM2 - FORNECIMENTO E INSTALACAO</t>
  </si>
  <si>
    <t xml:space="preserve"> 2.4.21 </t>
  </si>
  <si>
    <t xml:space="preserve"> 98111 </t>
  </si>
  <si>
    <t>CAIXA DE INSPEÇÃO PARA ATERRAMENTO, CIRCULAR, EM POLIETILENO, DIÂMETRO INTERNO = 0,3 M. AF_12/2020</t>
  </si>
  <si>
    <t xml:space="preserve"> 2.4.22 </t>
  </si>
  <si>
    <t xml:space="preserve"> 061012 </t>
  </si>
  <si>
    <t>CAIXA PASSAGEM PVC 4x4""</t>
  </si>
  <si>
    <t xml:space="preserve"> 2.4.23 </t>
  </si>
  <si>
    <t xml:space="preserve"> 059035 </t>
  </si>
  <si>
    <t>CAIXA FERRO ESMALTADO 4x2""</t>
  </si>
  <si>
    <t xml:space="preserve"> 2.4.24 </t>
  </si>
  <si>
    <t xml:space="preserve"> 101881 </t>
  </si>
  <si>
    <t>QUADRO DE DISTRIBUIÇÃO DE ENERGIA EM CHAPA DE AÇO GALVANIZADO, DE EMBUTIR, COM BARRAMENTO TRIFÁSICO, PARA 40 DISJUNTORES DIN 100A - FORNECIMENTO E INSTALAÇÃO. AF_10/2020</t>
  </si>
  <si>
    <t xml:space="preserve"> 2.4.25 </t>
  </si>
  <si>
    <t xml:space="preserve"> CP35 - 10/2023 </t>
  </si>
  <si>
    <t>Próprio</t>
  </si>
  <si>
    <t>LIGAÇÃO DE CHUVEIRO/TORNEIRA ELÉTRICA CONECTOR DE PORCELÂNA</t>
  </si>
  <si>
    <t>UND</t>
  </si>
  <si>
    <t xml:space="preserve"> 2.4.26 </t>
  </si>
  <si>
    <t xml:space="preserve"> 97599 </t>
  </si>
  <si>
    <t>LUMINÁRIA DE EMERGÊNCIA, COM 30 LÂMPADAS LED DE 2 W, SEM REATOR - FORNECIMENTO E INSTALAÇÃO. AF_02/2020</t>
  </si>
  <si>
    <t xml:space="preserve"> 2.4.27 </t>
  </si>
  <si>
    <t xml:space="preserve"> 97612 </t>
  </si>
  <si>
    <t xml:space="preserve"> 2.5 </t>
  </si>
  <si>
    <t>CERCAMENTO BOVINO</t>
  </si>
  <si>
    <t xml:space="preserve"> 2.5.1 </t>
  </si>
  <si>
    <t xml:space="preserve"> 101190 </t>
  </si>
  <si>
    <t xml:space="preserve"> 2.5.2 </t>
  </si>
  <si>
    <t xml:space="preserve"> 111632 </t>
  </si>
  <si>
    <t>PORTAO FERRO ABRIR COM PINTURA EM DUAS FACES, EM TUBO REDONDO 2"</t>
  </si>
  <si>
    <t xml:space="preserve"> 101114 </t>
  </si>
  <si>
    <t>ESCAVAÇÃO HORIZONTAL EM SOLO DE 1A CATEGORIA COM TRATOR DE ESTEIRAS (100HP/LÂMINA: 2,19M3). AF_07/2020</t>
  </si>
  <si>
    <t xml:space="preserve"> 2.5.3 </t>
  </si>
  <si>
    <t xml:space="preserve"> 102475 </t>
  </si>
  <si>
    <t>CONCRETO FCK = 20MPA, TRAÇO 1:2,6:2,9 (EM MASSA SECA DE CIMENTO/ AREIA MÉDIA/ SEIXO ROLADO) - PREPARO MECÂNICO COM BETONEIRA 400 L. AF_05/2021</t>
  </si>
  <si>
    <t xml:space="preserve"> 2.5.4 </t>
  </si>
  <si>
    <t xml:space="preserve"> 2.5.5 </t>
  </si>
  <si>
    <t xml:space="preserve"> 92762 </t>
  </si>
  <si>
    <t>ARMAÇÃO DE PILAR OU VIGA DE ESTRUTURA CONVENCIONAL DE CONCRETO ARMADO UTILIZANDO AÇO CA-50 DE 10,0 MM - MONTAGEM. AF_06/2022</t>
  </si>
  <si>
    <t>KG</t>
  </si>
  <si>
    <t xml:space="preserve"> 2.5.6 </t>
  </si>
  <si>
    <t xml:space="preserve"> 92759 </t>
  </si>
  <si>
    <t>ARMAÇÃO DE PILAR OU VIGA DE ESTRUTURA CONVENCIONAL DE CONCRETO ARMADO UTILIZANDO AÇO CA-60 DE 5,0 MM - MONTAGEM. AF_06/2022</t>
  </si>
  <si>
    <t xml:space="preserve"> 2.5.7 </t>
  </si>
  <si>
    <t xml:space="preserve"> 92270 </t>
  </si>
  <si>
    <t>FABRICAÇÃO DE FÔRMA PARA VIGAS, COM MADEIRA SERRADA, E = 25 MM. AF_09/2020</t>
  </si>
  <si>
    <t xml:space="preserve"> 2.5.8 </t>
  </si>
  <si>
    <t xml:space="preserve"> 090640 </t>
  </si>
  <si>
    <t>ALVENARIA TIJ.MACICO 0,20m REV.CIM/SAIBRO 1:8 C/PINT.CAL</t>
  </si>
  <si>
    <t xml:space="preserve"> 2.5.9 </t>
  </si>
  <si>
    <t xml:space="preserve"> 2.5.10 </t>
  </si>
  <si>
    <t xml:space="preserve"> 94319 </t>
  </si>
  <si>
    <t>ATERRO MANUAL DE VALAS COM SOLO ARGILO-ARENOSO E COMPACTAÇÃO MECANIZADA. AF_05/2016</t>
  </si>
  <si>
    <t xml:space="preserve"> 2.6 </t>
  </si>
  <si>
    <t>EXTINTORES</t>
  </si>
  <si>
    <t xml:space="preserve"> 2.6.2 </t>
  </si>
  <si>
    <t xml:space="preserve"> 055863 </t>
  </si>
  <si>
    <t>EXTINTOR PO QUIMICO SECO 6kg ABC NBR 15808:2017</t>
  </si>
  <si>
    <t xml:space="preserve"> 2.6.3 </t>
  </si>
  <si>
    <t xml:space="preserve"> 180051 </t>
  </si>
  <si>
    <t>PINTURA FAIXA DEMARCACAO AVISO EM PISO-(0,4m2)-EXTINTORES</t>
  </si>
  <si>
    <t xml:space="preserve"> 2.6.4 </t>
  </si>
  <si>
    <t xml:space="preserve"> 055034 </t>
  </si>
  <si>
    <t>PLACA FOTOLUMINESCENTE EXTINTOR INCENDIO PVC 2mm 20x20cm</t>
  </si>
  <si>
    <t xml:space="preserve"> 2.6.5 </t>
  </si>
  <si>
    <t xml:space="preserve"> 055035 </t>
  </si>
  <si>
    <t>PLACA FOTOLUMINESCENTE SAIDA DE EMERGENCIA PVC 2mm 26x13cm</t>
  </si>
  <si>
    <t xml:space="preserve"> 2.7 </t>
  </si>
  <si>
    <t>REDE LÓGICA</t>
  </si>
  <si>
    <t xml:space="preserve"> 2.7.1 </t>
  </si>
  <si>
    <t xml:space="preserve"> 98299 </t>
  </si>
  <si>
    <t>CABO ELETRÔNICO CATEGORIA 6A, INSTALADO EM EDIFICAÇÃO INSTITUCIONAL - FORNECIMENTO E INSTALAÇÃO. AF_11/2019</t>
  </si>
  <si>
    <t xml:space="preserve"> 2.7.2 </t>
  </si>
  <si>
    <t xml:space="preserve"> 98307 </t>
  </si>
  <si>
    <t>TOMADA DE REDE RJ45 - FORNECIMENTO E INSTALAÇÃO. AF_11/2019</t>
  </si>
  <si>
    <t xml:space="preserve"> 2.7.3 </t>
  </si>
  <si>
    <t xml:space="preserve"> 91845 </t>
  </si>
  <si>
    <t>ELETRODUTO FLEXÍVEL CORRUGADO REFORÇADO, PVC, DN 25 MM (3/4"), PARA CIRCUITOS TERMINAIS, INSTALADO EM LAJE - FORNECIMENTO E INSTALAÇÃO. AF_03/2023</t>
  </si>
  <si>
    <t xml:space="preserve"> 2.7.4 </t>
  </si>
  <si>
    <t xml:space="preserve"> 2.7.5 </t>
  </si>
  <si>
    <t xml:space="preserve"> 059639 </t>
  </si>
  <si>
    <t>MINI RACK 6UX450MM</t>
  </si>
  <si>
    <t xml:space="preserve"> 2.9 </t>
  </si>
  <si>
    <t>ABERTURAS</t>
  </si>
  <si>
    <t xml:space="preserve"> 2.9.1 </t>
  </si>
  <si>
    <t xml:space="preserve"> 100690 </t>
  </si>
  <si>
    <t>KIT DE PORTA DE MADEIRA FRISADA, SEMI-OCA (LEVE OU MÉDIA), PADRÃO POPULAR, 80X210CM, ESPESSURA DE 3,5CM, ITENS INCLUSOS: DOBRADIÇAS, MONTAGEM E INSTALAÇÃO DE BATENTE, FECHADURA COM EXECUÇÃO DO FURO - FORNECIMENTO E INSTALAÇÃO. AF_12/2019</t>
  </si>
  <si>
    <t xml:space="preserve"> 2.9.2 </t>
  </si>
  <si>
    <t xml:space="preserve"> 100701 </t>
  </si>
  <si>
    <t xml:space="preserve"> 022711 </t>
  </si>
  <si>
    <t>RETIRADA DE PORTAS</t>
  </si>
  <si>
    <t xml:space="preserve"> 2.9.3 </t>
  </si>
  <si>
    <t xml:space="preserve"> 022664 </t>
  </si>
  <si>
    <t>RETIRADA DE ESQUADRIAS DE JANELA</t>
  </si>
  <si>
    <t xml:space="preserve"> 100741 </t>
  </si>
  <si>
    <t>PINTURA COM TINTA ALQUÍDICA DE ACABAMENTO (ESMALTE SINTÉTICO ACETINADO) PULVERIZADA SOBRE SUPERFÍCIES METÁLICAS (EXCETO PERFIL) EXECUTADO EM OBRA (POR DEMÃO). AF_01/2020_PE</t>
  </si>
  <si>
    <t xml:space="preserve"> 2.9.4 </t>
  </si>
  <si>
    <t xml:space="preserve"> 150152 </t>
  </si>
  <si>
    <t>VIDRO CRISTAL PLANO INCOLOR 4mm COM BAGUETE DE NEOPRENE</t>
  </si>
  <si>
    <t xml:space="preserve"> 2.9.5 </t>
  </si>
  <si>
    <t xml:space="preserve"> 94570 </t>
  </si>
  <si>
    <t>JANELA DE ALUMÍNIO DE CORRER COM 2 FOLHAS PARA VIDROS, COM VIDROS, BATENTE, ACABAMENTO COM ACETATO OU BRILHANTE E FERRAGENS. EXCLUSIVE ALIZAR E CONTRAMARCO. FORNECIMENTO E INSTALAÇÃO. AF_12/2019</t>
  </si>
  <si>
    <t xml:space="preserve"> 2.9.6 </t>
  </si>
  <si>
    <t xml:space="preserve"> 102185 </t>
  </si>
  <si>
    <t xml:space="preserve"> 99861 </t>
  </si>
  <si>
    <t>GRADIL EM FERRO FIXADO EM VÃOS DE JANELAS, FORMADO POR BARRAS CHATAS DE 25X4,8 MM. AF_04/2019</t>
  </si>
  <si>
    <t xml:space="preserve"> 2.9.7 </t>
  </si>
  <si>
    <t xml:space="preserve"> 99820 </t>
  </si>
  <si>
    <t>LIMPEZA DE JANELA INTEIRAMENTE DE VIDRO. AF_04/2019</t>
  </si>
  <si>
    <t xml:space="preserve"> 2.9.10 </t>
  </si>
  <si>
    <t xml:space="preserve"> 102219 </t>
  </si>
  <si>
    <t>PINTURA TINTA DE ACABAMENTO (PIGMENTADA) ESMALTE SINTÉTICO ACETINADO EM MADEIRA, 2 DEMÃOS. AF_01/2021</t>
  </si>
  <si>
    <t xml:space="preserve"> 2.10 </t>
  </si>
  <si>
    <t xml:space="preserve"> 2.10.1 </t>
  </si>
  <si>
    <t xml:space="preserve"> 2.10.2 </t>
  </si>
  <si>
    <t xml:space="preserve"> 2.10.3 </t>
  </si>
  <si>
    <t xml:space="preserve"> 2.10.4 </t>
  </si>
  <si>
    <t xml:space="preserve"> 88412 </t>
  </si>
  <si>
    <t>APLICAÇÃO MANUAL DE FUNDO SELADOR ACRÍLICO EM PANOS CEGOS DE FACHADA (SEM PRESENÇA DE VÃOS) DE EDIFÍCIOS DE MÚLTIPLOS PAVIMENTOS. AF_06/2014</t>
  </si>
  <si>
    <t xml:space="preserve"> 2.10.5 </t>
  </si>
  <si>
    <t xml:space="preserve"> 2.10.6 </t>
  </si>
  <si>
    <t xml:space="preserve"> 2.10.7 </t>
  </si>
  <si>
    <t xml:space="preserve"> 74245/001 </t>
  </si>
  <si>
    <t>PINTURA ACRILICA EM PISO CIMENTADO DUAS DEMAOS</t>
  </si>
  <si>
    <t xml:space="preserve"> 2.10.8 </t>
  </si>
  <si>
    <t xml:space="preserve"> 2.10.9 </t>
  </si>
  <si>
    <t xml:space="preserve"> 2.10.10 </t>
  </si>
  <si>
    <t xml:space="preserve"> 130350 </t>
  </si>
  <si>
    <t xml:space="preserve"> 2.10.11 </t>
  </si>
  <si>
    <t xml:space="preserve"> 2.10.12 </t>
  </si>
  <si>
    <t xml:space="preserve"> 102220 </t>
  </si>
  <si>
    <t>PINTURA TINTA DE ACABAMENTO (PIGMENTADA) ESMALTE SINTÉTICO BRILHANTE EM MADEIRA, 2 DEMÃOS. AF_01/2021</t>
  </si>
  <si>
    <t xml:space="preserve"> 2.10.13 </t>
  </si>
  <si>
    <t xml:space="preserve"> 100003 </t>
  </si>
  <si>
    <t>ESTRUTURA METALICA EM TESOURAS OU TRELICAS, COM TELHA TRANSLUCIDA</t>
  </si>
  <si>
    <t xml:space="preserve"> 2.11 </t>
  </si>
  <si>
    <t>ACESSORIOS - VASOS SANITÁRIOS, BANCADAS E OUTROS</t>
  </si>
  <si>
    <t xml:space="preserve"> 2.11.1 </t>
  </si>
  <si>
    <t xml:space="preserve"> 190213 </t>
  </si>
  <si>
    <t>CUBA ACO INOX ESCOVADO RETANGULAR 50x40x20cm SQUARE 540 SINK</t>
  </si>
  <si>
    <t xml:space="preserve"> 2.11.2 </t>
  </si>
  <si>
    <t xml:space="preserve"> 86914 </t>
  </si>
  <si>
    <t>TORNEIRA CROMADA 1/2 OU 3/4 PARA TANQUE, PADRÃO MÉDIO - FORNECIMENTO E INSTALAÇÃO. AF_01/2020</t>
  </si>
  <si>
    <t xml:space="preserve"> 2.11.3 </t>
  </si>
  <si>
    <t xml:space="preserve"> 87261 </t>
  </si>
  <si>
    <t>REVESTIMENTO CERÂMICO PARA PISO COM PLACAS TIPO PORCELANATO DE DIMENSÕES 60X60 CM APLICADA EM AMBIENTES DE ÁREA MENOR QUE 5 M². AF_02/2023_PE</t>
  </si>
  <si>
    <t xml:space="preserve"> 97631 </t>
  </si>
  <si>
    <t>DEMOLIÇÃO DE ARGAMASSAS, DE FORMA MANUAL, SEM REAPROVEITAMENTO. AF_12/2017</t>
  </si>
  <si>
    <t xml:space="preserve"> 2.11.4 </t>
  </si>
  <si>
    <t xml:space="preserve"> 86889 </t>
  </si>
  <si>
    <t>BANCADA DE GRANITO CINZA POLIDO, DE 1,50 X 0,60 M, PARA PIA DE COZINHA - FORNECIMENTO E INSTALAÇÃO. AF_01/2020</t>
  </si>
  <si>
    <t xml:space="preserve"> 2.11.5 </t>
  </si>
  <si>
    <t xml:space="preserve"> 86935 </t>
  </si>
  <si>
    <t>CUBA DE EMBUTIR DE AÇO INOXIDÁVEL MÉDIA, INCLUSO VÁLVULA TIPO AMERICANA EM METAL CROMADO E SIFÃO FLEXÍVEL EM PVC - FORNECIMENTO E INSTALAÇÃO. AF_01/2020</t>
  </si>
  <si>
    <t xml:space="preserve"> 190429 </t>
  </si>
  <si>
    <t>BANCADA EM GRANITO CINZA ANDORINHA</t>
  </si>
  <si>
    <t xml:space="preserve"> 2.11.6 </t>
  </si>
  <si>
    <t xml:space="preserve"> 93396 </t>
  </si>
  <si>
    <t>BANCADA GRANITO CINZA,  50 X 60 CM, INCL. CUBA DE EMBUTIR OVAL LOUÇA BRANCA 35 X 50 CM, VÁLVULA METAL CROMADO, SIFÃO FLEXÍVEL PVC, ENGATE 30 CM FLEXÍVEL PLÁSTICO E TORNEIRA CROMADA DE MESA, PADRÃO POPULAR - FORNEC. E INSTALAÇÃO. AF_01/2020</t>
  </si>
  <si>
    <t xml:space="preserve"> 2.11.7 </t>
  </si>
  <si>
    <t xml:space="preserve"> 190071 </t>
  </si>
  <si>
    <t>PORTA TOALHAS METALICA DE BANHO ARGOLA ANGRA - MOLDENOX</t>
  </si>
  <si>
    <t xml:space="preserve"> 2.11.8 </t>
  </si>
  <si>
    <t xml:space="preserve"> 190008 </t>
  </si>
  <si>
    <t>PORTA PAPEL HIGIENICO DE EMBUTIR CROMADO CRISMETAL 15X15CM</t>
  </si>
  <si>
    <t xml:space="preserve"> 2.11.9 </t>
  </si>
  <si>
    <t xml:space="preserve"> 86932 </t>
  </si>
  <si>
    <t>VASO SANITÁRIO SIFONADO COM CAIXA ACOPLADA LOUÇA BRANCA - PADRÃO MÉDIO, INCLUSO ENGATE FLEXÍVEL EM METAL CROMADO, 1/2  X 40CM - FORNECIMENTO E INSTALAÇÃO. AF_01/2020</t>
  </si>
  <si>
    <t xml:space="preserve"> 2.11.10 </t>
  </si>
  <si>
    <t xml:space="preserve"> 85005 </t>
  </si>
  <si>
    <t>ESPELHO CRISTAL, ESPESSURA 4MM, COM PARAFUSOS DE FIXACAO, SEM MOLDURA</t>
  </si>
  <si>
    <t xml:space="preserve"> 2.11.11 </t>
  </si>
  <si>
    <t xml:space="preserve"> 89985 </t>
  </si>
  <si>
    <t>REGISTRO DE PRESSÃO BRUTO, LATÃO, ROSCÁVEL, 3/4", COM ACABAMENTO E CANOPLA CROMADOS - FORNECIMENTO E INSTALAÇÃO. AF_08/2021</t>
  </si>
  <si>
    <t xml:space="preserve"> 2.11.12 </t>
  </si>
  <si>
    <t xml:space="preserve"> 150161 </t>
  </si>
  <si>
    <t>VIDRO TEMPERADO INCOLOR 8mm PARA BOX COM FERRAGEM DE FIXACAO</t>
  </si>
  <si>
    <t xml:space="preserve"> 2.11.13 </t>
  </si>
  <si>
    <t xml:space="preserve"> 190807 </t>
  </si>
  <si>
    <t>TANQUE DE PLASTICO 23 LITROS ASTRA</t>
  </si>
  <si>
    <t xml:space="preserve"> 2.11.14 </t>
  </si>
  <si>
    <t xml:space="preserve"> 89709 </t>
  </si>
  <si>
    <t>RALO SIFONADO, PVC, DN 100 X 40 MM, JUNTA SOLDÁVEL, FORNECIDO E INSTALADO EM RAMAL DE DESCARGA OU EM RAMAL DE ESGOTO SANITÁRIO. AF_08/2022</t>
  </si>
  <si>
    <t xml:space="preserve"> 3 </t>
  </si>
  <si>
    <t xml:space="preserve"> 3.1 </t>
  </si>
  <si>
    <t xml:space="preserve"> 3.1.1 </t>
  </si>
  <si>
    <t xml:space="preserve"> 98524 </t>
  </si>
  <si>
    <t>LIMPEZA MANUAL DE VEGETAÇÃO EM TERRENO COM ENXADA.AF_05/2018</t>
  </si>
  <si>
    <t xml:space="preserve"> 3.1.2 </t>
  </si>
  <si>
    <t xml:space="preserve"> 99059 </t>
  </si>
  <si>
    <t>LOCACAO CONVENCIONAL DE OBRA, UTILIZANDO GABARITO DE TÁBUAS CORRIDAS PONTALETADAS A CADA 2,00M -  2 UTILIZAÇÕES. AF_10/2018</t>
  </si>
  <si>
    <t xml:space="preserve"> 3.2 </t>
  </si>
  <si>
    <t>ESCAVAÇÃO E FUNDAÇÕES</t>
  </si>
  <si>
    <t xml:space="preserve"> 3.2.1 </t>
  </si>
  <si>
    <t>ESTACAS E BLOCOS</t>
  </si>
  <si>
    <t xml:space="preserve"> 3.2.1.1 </t>
  </si>
  <si>
    <t xml:space="preserve"> 3.2.1.2 </t>
  </si>
  <si>
    <t xml:space="preserve"> 100899 </t>
  </si>
  <si>
    <t>ESTACA ESCAVADA MECANICAMENTE, SEM FLUIDO ESTABILIZANTE, COM 25CM DE DIÂMETRO, CONCRETO LANÇADO MANUALMENTE (EXCLUSIVE MOBILIZAÇÃO E DESMOBILIZAÇÃO). AF_01/2020</t>
  </si>
  <si>
    <t xml:space="preserve"> 3.2.3 </t>
  </si>
  <si>
    <t>VIGAS DE FUNDAÇÃO</t>
  </si>
  <si>
    <t xml:space="preserve"> 3.2.3.1 </t>
  </si>
  <si>
    <t xml:space="preserve"> 3.2.3.2 </t>
  </si>
  <si>
    <t xml:space="preserve"> 3.2.3.4 </t>
  </si>
  <si>
    <t xml:space="preserve"> 3.2.3.5 </t>
  </si>
  <si>
    <t xml:space="preserve"> 3.3 </t>
  </si>
  <si>
    <t>SUPRAESTRUTURA</t>
  </si>
  <si>
    <t xml:space="preserve"> 3.3.1 </t>
  </si>
  <si>
    <t>PILARES</t>
  </si>
  <si>
    <t xml:space="preserve"> 3.3.1.1 </t>
  </si>
  <si>
    <t xml:space="preserve"> 3.3.1.2 </t>
  </si>
  <si>
    <t xml:space="preserve"> 3.3.1.3 </t>
  </si>
  <si>
    <t xml:space="preserve"> 3.3.1.4 </t>
  </si>
  <si>
    <t xml:space="preserve"> 92269 </t>
  </si>
  <si>
    <t>FABRICAÇÃO DE FÔRMA PARA PILARES E ESTRUTURAS SIMILARES, EM MADEIRA SERRADA, E=25 MM. AF_09/2020</t>
  </si>
  <si>
    <t xml:space="preserve"> 3.3.2 </t>
  </si>
  <si>
    <t>VIGAS E LAJE</t>
  </si>
  <si>
    <t xml:space="preserve"> 3.3.2.1 </t>
  </si>
  <si>
    <t xml:space="preserve"> 101964 </t>
  </si>
  <si>
    <t>LAJE PRÉ-MOLDADA UNIDIRECIONAL, BIAPOIADA, PARA FORRO, ENCHIMENTO EM CERÂMICA, VIGOTA CONVENCIONAL, ALTURA TOTAL DA LAJE (ENCHIMENTO+CAPA) = (8+3). AF_11/2020</t>
  </si>
  <si>
    <t xml:space="preserve"> 3.3.2.2 </t>
  </si>
  <si>
    <t xml:space="preserve"> 040119 </t>
  </si>
  <si>
    <t>LAJE CONCRETO ESTRUTURAL MACICO PARA PISO 0,10m COM ACO/FORMAS</t>
  </si>
  <si>
    <t xml:space="preserve"> 3.3.2.3 </t>
  </si>
  <si>
    <t xml:space="preserve"> 3.3.2.4 </t>
  </si>
  <si>
    <t xml:space="preserve"> 3.3.2.5 </t>
  </si>
  <si>
    <t xml:space="preserve"> 3.4 </t>
  </si>
  <si>
    <t>ALVENARIA, REVESTIMENTOS</t>
  </si>
  <si>
    <t xml:space="preserve"> 3.4.1 </t>
  </si>
  <si>
    <t xml:space="preserve"> 3.4.2 </t>
  </si>
  <si>
    <t xml:space="preserve"> 3.4.3 </t>
  </si>
  <si>
    <t xml:space="preserve"> 3.4.4 </t>
  </si>
  <si>
    <t xml:space="preserve"> 3.4.5 </t>
  </si>
  <si>
    <t xml:space="preserve"> 3.4.6 </t>
  </si>
  <si>
    <t xml:space="preserve"> 100753 </t>
  </si>
  <si>
    <t>PINTURA COM TINTA ACRÍLICA DE ACABAMENTO PULVERIZADA SOBRE SUPERFÍCIES METÁLICAS (EXCETO PERFIL) EXECUTADO EM OBRA (02 DEMÃOS). AF_01/2020_PE</t>
  </si>
  <si>
    <t xml:space="preserve"> 3.4.7 </t>
  </si>
  <si>
    <t xml:space="preserve"> 3.4.8 </t>
  </si>
  <si>
    <t xml:space="preserve"> 3.4.9 </t>
  </si>
  <si>
    <t xml:space="preserve"> 97097 </t>
  </si>
  <si>
    <t>ACABAMENTO POLIDO PARA PISO DE CONCRETO ARMADO OU LAJE SOBRE SOLO DE ALTA RESISTÊNCIA. AF_09/2021</t>
  </si>
  <si>
    <t xml:space="preserve"> 3.4.10 </t>
  </si>
  <si>
    <t xml:space="preserve"> 90954 </t>
  </si>
  <si>
    <t>CONTRAPISO ACÚSTICO EM ARGAMASSA PRONTA, PREPARO MANUAL, APLICADO EM ÁREAS SECAS, ACABAMENTO NÃO REFORÇADO, ESPESSURA 7CM. AF_07/2021</t>
  </si>
  <si>
    <t xml:space="preserve"> 3.5 </t>
  </si>
  <si>
    <t xml:space="preserve"> 3.5.1 </t>
  </si>
  <si>
    <t xml:space="preserve"> 052951 </t>
  </si>
  <si>
    <t>CAIXA D'AGUA EM POLIETILENO 1500 LITROS COM TAMPA</t>
  </si>
  <si>
    <t xml:space="preserve"> 92543 </t>
  </si>
  <si>
    <t>TRAMA DE MADEIRA COMPOSTA POR TERÇAS PARA TELHADOS DE ATÉ 2 ÁGUAS PARA TELHA ONDULADA DE FIBROCIMENTO, METÁLICA, PLÁSTICA OU TERMOACÚSTICA, INCLUSO TRANSPORTE VERTICAL. AF_07/2019</t>
  </si>
  <si>
    <t xml:space="preserve"> 94213 </t>
  </si>
  <si>
    <t>TELHAMENTO COM TELHA DE AÇO/ALUMÍNIO E = 0,5 MM, COM ATÉ 2 ÁGUAS, INCLUSO IÇAMENTO. AF_07/2019</t>
  </si>
  <si>
    <t xml:space="preserve"> 94223 </t>
  </si>
  <si>
    <t>Totais -&gt;</t>
  </si>
  <si>
    <t>REMOÇÃO DE FORRO, DE FORMA MANUAL, SEM REAPROVEITAMENTO. AF_12/2017</t>
  </si>
  <si>
    <t>PORTA DE ABRIR COM MOLA HIDRÁULICA, EM VIDRO TEMPERADO, 2 FOLHAS DE 100X210 CM, ESPESSURA DD 10MM, INCLUSIVE ACESSÓRIOS. AF_01/2021</t>
  </si>
  <si>
    <t xml:space="preserve"> 2.11.15</t>
  </si>
  <si>
    <t>COMP. PRO</t>
  </si>
  <si>
    <t>LIGAÇÃO DE EQUIPAMENTOS INDIVIDUAL DE VASOS, PIAS, CHUVEIROS E RALOS (HIDRAULICA E SANITÁRIA), COM FORNECIMENTO DE CANOS, CURVAS, LUVAS E DEMAIS ITENS PARA A CONECÇÃO A REDE EXISTENTE</t>
  </si>
  <si>
    <t>GRAMPEAMENTO DE PAREDES</t>
  </si>
  <si>
    <t>Reforma prédio administrativo da Escola Fazenda IMEAB entre outros serviços</t>
  </si>
  <si>
    <t xml:space="preserve">SINAPI - 04/2023 - RS
SBC - 05/2023 - RS
SICRO3 - 01/2023 - RS
</t>
  </si>
  <si>
    <t>Local:</t>
  </si>
  <si>
    <t>Rua das Jabuticabadas, Linha 4 Leste, ao lado do Parque de Exposição Wanderley Burmann</t>
  </si>
  <si>
    <t>Desonerado: 83,34%</t>
  </si>
  <si>
    <t>REVESTIMENTOS EXTERNOS E TOLDO (PORTA DE ENTRADA)</t>
  </si>
  <si>
    <t xml:space="preserve"> 2.12</t>
  </si>
  <si>
    <t>2.12.1</t>
  </si>
  <si>
    <t>2.12.2</t>
  </si>
  <si>
    <t>2.12.3</t>
  </si>
  <si>
    <t>2.12.4</t>
  </si>
  <si>
    <t>2.12.5</t>
  </si>
  <si>
    <t>LAVAPÉS - AO LADO DA PORTA FRONTAL (PRINCIPAL)</t>
  </si>
  <si>
    <t>2.12.6</t>
  </si>
  <si>
    <t>2.12.7</t>
  </si>
  <si>
    <t xml:space="preserve"> 3.6</t>
  </si>
  <si>
    <t>REDE ELETRICA E HIDROSANITÁRIA</t>
  </si>
  <si>
    <t>CUMEEIRA PARA TELHA DE AÇO/ALUMÍNIO INLCUSO ACESSÓRIOS DE FIXAÇÃO E IÇAMENTO. AF_07/2019</t>
  </si>
  <si>
    <t xml:space="preserve"> 3.5.2</t>
  </si>
  <si>
    <t xml:space="preserve"> 3.5.3</t>
  </si>
  <si>
    <t xml:space="preserve"> 3.5.4</t>
  </si>
  <si>
    <t xml:space="preserve"> 3.5.5</t>
  </si>
  <si>
    <t xml:space="preserve"> 3.5.6</t>
  </si>
  <si>
    <t>3.6.1</t>
  </si>
  <si>
    <t>SISTEMA DE ACIONAMENTO COM PÉ PARA LIGAÇÃO DO CHUVEIRO EM CASOS DE ACIDENTES COM PRODUTOS QUIMICOS</t>
  </si>
  <si>
    <t>3.7</t>
  </si>
  <si>
    <t xml:space="preserve"> 101876 </t>
  </si>
  <si>
    <t>QUADRO DE DISTRIBUIÇÃO DE ENERGIA EM PVC, DE EMBUTIR, SEM BARRAMENTO, PARA 6 DISJUNTORES - FORNECIMENTO E INSTALAÇÃO. AF_10/2020</t>
  </si>
  <si>
    <t xml:space="preserve"> 97595 </t>
  </si>
  <si>
    <t>SENSOR DE PRESENÇA COM FOTOCÉLULA, FIXAÇÃO EM PAREDE - FORNECIMENTO E INSTALAÇÃO. AF_02/2020</t>
  </si>
  <si>
    <t xml:space="preserve"> 97608 </t>
  </si>
  <si>
    <t>LUMINÁRIA ARANDELA TIPO TARTARUGA, COM GRADE, DE SOBREPOR, COM 1 LÂMPADA FLUORESCENTE DE 15 W, SEM REATOR - FORNECIMENTO E INSTALAÇÃO. AF_02/2020</t>
  </si>
  <si>
    <t xml:space="preserve"> 92028 </t>
  </si>
  <si>
    <t xml:space="preserve"> 89446 </t>
  </si>
  <si>
    <t>TUBO, PVC, SOLDÁVEL, DN 25MM, INSTALADO EM PRUMADA DE ÁGUA - FORNECIMENTO E INSTALAÇÃO. AF_06/2022</t>
  </si>
  <si>
    <t xml:space="preserve"> 90446 </t>
  </si>
  <si>
    <t xml:space="preserve"> 74197/001 </t>
  </si>
  <si>
    <t xml:space="preserve"> 98094 </t>
  </si>
  <si>
    <t xml:space="preserve"> 055917 </t>
  </si>
  <si>
    <t xml:space="preserve"> 100860 </t>
  </si>
  <si>
    <t>CHUVEIRO ELÉTRICO COMUM CORPO PLÁSTICO, TIPO DUCHA  FORNECIMENTO E INSTALAÇÃO. AF_01/2020</t>
  </si>
  <si>
    <t>LUMINÁRIA DE EMERGÊNCIA, COM 30 LÂMPADAS LED DE 2 W, SEM REATOR, COM TOMADA DE FORÇA - FORNECIMENTO E INSTALAÇÃO. AF_02/2020</t>
  </si>
  <si>
    <t>INTERRUPTOR (1 MÓDULO) COM 1 TOMADA DE EMBUTIR 2P+T 10 A, SEM SUPORTE E SEM PLACA - FORNECIMENTO E INSTALAÇÃO. AF_03/2023</t>
  </si>
  <si>
    <t>VERBA PARA CURVAS, LUVAS E DEMAIS ACESSORIOS</t>
  </si>
  <si>
    <t>3.6.2</t>
  </si>
  <si>
    <t>3.6.3</t>
  </si>
  <si>
    <t>3.6.4</t>
  </si>
  <si>
    <t>3.6.5</t>
  </si>
  <si>
    <t>3.6.6</t>
  </si>
  <si>
    <t>3.6.7</t>
  </si>
  <si>
    <t>3.6.8</t>
  </si>
  <si>
    <t>3.6.9</t>
  </si>
  <si>
    <t>3.6.10</t>
  </si>
  <si>
    <t>3.6.11</t>
  </si>
  <si>
    <t>3.6.12</t>
  </si>
  <si>
    <t>3.6.13</t>
  </si>
  <si>
    <t>3.6.14</t>
  </si>
  <si>
    <t>3.6.15</t>
  </si>
  <si>
    <t>3.6.16</t>
  </si>
  <si>
    <t>3.6.17</t>
  </si>
  <si>
    <t>3.6.18</t>
  </si>
  <si>
    <t>3.6.19</t>
  </si>
  <si>
    <t>3.6.20</t>
  </si>
  <si>
    <t>3.6.21</t>
  </si>
  <si>
    <t>3.6.22</t>
  </si>
  <si>
    <t>3.7.1</t>
  </si>
  <si>
    <t>JANELA BASCULANTE DE FERRO EM CANTONEIRA 5/8”X1/8”, LINHA POPULAR</t>
  </si>
  <si>
    <t>3.7.2</t>
  </si>
  <si>
    <t>3.7.3</t>
  </si>
  <si>
    <t>3.7.4</t>
  </si>
  <si>
    <t>3.7.5</t>
  </si>
  <si>
    <t>PLACA EM ALUMINIO 8mm ADESIVADA PARA RISCO OU ADVERTÊNCIA - 25x18cm</t>
  </si>
  <si>
    <t>LIMPEZA, LOCAÇÃO E DIVERSOS</t>
  </si>
  <si>
    <t>SUMIDOURO CIRCULAR, EM ALVENARIA DE TIJ. MACIÇO, DIMENSÕES INTERNAS: 1,0 X 1,95 M, COM 0,5M BRITA Nº NO FUNDO, EM LAJE TRELIÇADA E ACESSO PARA ESGOTAMENTO</t>
  </si>
  <si>
    <t>COLETOR DE RESIDUOS EM ALVENARIA DE TIJOLO CERAMICO MACICO DIMENSOES EXTERNAS CONFORME PROJETO, REVESTIDA INTERNAMENTE COM BARRA LISA, COM TAMPA EM CONCRETO ARMADO COM ESPESSURA 6CM - INCL ESCAVAÇÃO</t>
  </si>
  <si>
    <t>CALHA EM CONCRETO FEITA EM CONTRAPISO PARA DIRECIONAMENTO DE RESIDUOS LIQUIDOS</t>
  </si>
  <si>
    <t>CRONOGRAMA FISICO FINANCEIRO</t>
  </si>
  <si>
    <t>ITEM</t>
  </si>
  <si>
    <t>EXECUTADO</t>
  </si>
  <si>
    <t>1ª Mês</t>
  </si>
  <si>
    <t>2ª Mês</t>
  </si>
  <si>
    <t>TOTAL</t>
  </si>
  <si>
    <t>ANDERSON CRISTIANO ROLIM</t>
  </si>
  <si>
    <t>Me. ENGENHEIRA CIVIL</t>
  </si>
  <si>
    <t>CREA/RS: 201.123</t>
  </si>
  <si>
    <t>3ª Mês</t>
  </si>
  <si>
    <t>4ª Mês</t>
  </si>
  <si>
    <t>VALOR DOS SERVIÇOS</t>
  </si>
  <si>
    <t>PESO %</t>
  </si>
  <si>
    <r>
      <rPr>
        <b/>
        <sz val="11"/>
        <rFont val="Arial"/>
        <family val="2"/>
      </rPr>
      <t>PROJETO</t>
    </r>
    <r>
      <rPr>
        <sz val="11"/>
        <rFont val="Arial"/>
        <family val="1"/>
      </rPr>
      <t>: Escola Fazenda - IMEAB</t>
    </r>
  </si>
  <si>
    <r>
      <rPr>
        <b/>
        <sz val="11"/>
        <rFont val="Arial"/>
        <family val="2"/>
      </rPr>
      <t>OBRA</t>
    </r>
    <r>
      <rPr>
        <sz val="11"/>
        <rFont val="Arial"/>
        <family val="1"/>
      </rPr>
      <t>: Reforma prédio administrativo da Escola Fazenda IMEAB entre outros serviços</t>
    </r>
  </si>
  <si>
    <r>
      <rPr>
        <b/>
        <sz val="11"/>
        <rFont val="Arial"/>
        <family val="2"/>
      </rPr>
      <t>ENDEREÇO:</t>
    </r>
    <r>
      <rPr>
        <sz val="11"/>
        <rFont val="Arial"/>
        <family val="1"/>
      </rPr>
      <t xml:space="preserve"> Rua das Jabuticabadas, Linha 4 Leste, ao lado do Parque de Exposição Wanderley Burmann</t>
    </r>
  </si>
  <si>
    <t>DESCRIÇÃO</t>
  </si>
  <si>
    <t>1.</t>
  </si>
  <si>
    <t>2.</t>
  </si>
  <si>
    <t>3.</t>
  </si>
  <si>
    <t xml:space="preserve">CONSTRUÇÃO DE NOVO DEPÓSITO DE DEFENSIVOS AGRICOLAS </t>
  </si>
  <si>
    <t>TELHADO E RESERVATÓRIO</t>
  </si>
  <si>
    <t xml:space="preserve"> 3.5.7</t>
  </si>
  <si>
    <t>LIGAÇÃO (CALHAS E TUBULAÇÃO) RESERVATÓRIO AO TELHADO</t>
  </si>
  <si>
    <t>CERCA COM MOURÕES DE CONCRETO, RETO, H=3,00 M, ESPAÇAMENTO DE 2,5 M, CRAVADOS 0,7 M, COM 6 FIOS DE ARAME DE AÇO OVALADO 15X17 - FORNECIMENTO E INSTALAÇÃO. AF_05/2020</t>
  </si>
  <si>
    <t xml:space="preserve"> 1.3</t>
  </si>
  <si>
    <t>CONTRAPISO COM ARGAMASSA AUTONIVELANTE, ADERIDO, ESPESSURA 2CM. AF_07/2021</t>
  </si>
  <si>
    <t>PORTA DE FERRO, DE ABRIR, TIPO COM CHAPA, COM GUARNIÇÕES. AF_12/2019</t>
  </si>
  <si>
    <t>PORTA DE FERRO, DE ABRIR, TIPO, COM CHAPA, COM GUARNIÇÕES. AF_12/2019</t>
  </si>
  <si>
    <t>LÂMPADA COMPACTA LED 32 W, BASE E27 (PLAFON - BRANCO) - FORNECIMENTO E INSTALAÇÃO. AF_02/2020</t>
  </si>
  <si>
    <t>ESPELHO BEIRAL DE MADEIRA DE LEI EM TABUA IPE 15cm</t>
  </si>
  <si>
    <t xml:space="preserve">FORRO DE GESSO ACARTONADO </t>
  </si>
  <si>
    <t xml:space="preserve">
______________________________                                                   _________________________________
CLAÚDIO DA CRUZ DE SOUZA                                                           ANDERSON CRISTIANO ROLIM
Secretário Municipal de Educação                                                Me. Engenharia Civil - CREA/RS 201.123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</si>
</sst>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%"/>
    <numFmt numFmtId="165" formatCode="&quot;R$&quot;\ #,##0.00"/>
  </numFmts>
  <fonts count="31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1"/>
    </font>
    <font>
      <sz val="11"/>
      <color rgb="FFFF0000"/>
      <name val="Arial"/>
      <family val="1"/>
    </font>
    <font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Verdana"/>
      <family val="2"/>
    </font>
    <font>
      <sz val="9"/>
      <name val="Verdana"/>
      <family val="2"/>
    </font>
    <font>
      <b/>
      <i/>
      <sz val="9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2" borderId="11" xfId="0" applyFont="1" applyFill="1" applyBorder="1" applyAlignment="1">
      <alignment horizontal="center" vertical="center" wrapText="1"/>
    </xf>
    <xf numFmtId="0" fontId="15" fillId="15" borderId="14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4" fontId="8" fillId="9" borderId="1" xfId="0" applyNumberFormat="1" applyFont="1" applyFill="1" applyBorder="1" applyAlignment="1">
      <alignment horizontal="center" vertical="center" wrapText="1"/>
    </xf>
    <xf numFmtId="164" fontId="21" fillId="21" borderId="6" xfId="0" applyNumberFormat="1" applyFont="1" applyFill="1" applyBorder="1" applyAlignment="1">
      <alignment horizontal="center" vertical="center" wrapText="1"/>
    </xf>
    <xf numFmtId="0" fontId="12" fillId="12" borderId="1" xfId="0" applyFont="1" applyFill="1" applyBorder="1" applyAlignment="1">
      <alignment horizontal="center" vertical="center" wrapText="1"/>
    </xf>
    <xf numFmtId="4" fontId="13" fillId="13" borderId="1" xfId="0" applyNumberFormat="1" applyFont="1" applyFill="1" applyBorder="1" applyAlignment="1">
      <alignment horizontal="center" vertical="center" wrapText="1"/>
    </xf>
    <xf numFmtId="164" fontId="14" fillId="14" borderId="6" xfId="0" applyNumberFormat="1" applyFont="1" applyFill="1" applyBorder="1" applyAlignment="1">
      <alignment horizontal="center" vertical="center" wrapText="1"/>
    </xf>
    <xf numFmtId="0" fontId="20" fillId="20" borderId="0" xfId="0" applyFont="1" applyFill="1" applyAlignment="1">
      <alignment horizontal="center" vertical="center" wrapText="1"/>
    </xf>
    <xf numFmtId="0" fontId="14" fillId="20" borderId="0" xfId="0" applyFont="1" applyFill="1" applyAlignment="1">
      <alignment horizontal="center" vertical="center" wrapText="1"/>
    </xf>
    <xf numFmtId="0" fontId="17" fillId="17" borderId="0" xfId="0" applyFont="1" applyFill="1" applyAlignment="1">
      <alignment horizontal="center" vertical="center" wrapText="1"/>
    </xf>
    <xf numFmtId="0" fontId="16" fillId="16" borderId="0" xfId="0" applyFont="1" applyFill="1" applyAlignment="1">
      <alignment horizontal="center" vertical="center" wrapText="1"/>
    </xf>
    <xf numFmtId="0" fontId="9" fillId="17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10" fillId="10" borderId="1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center" vertical="center" wrapText="1"/>
    </xf>
    <xf numFmtId="0" fontId="10" fillId="11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5" fillId="15" borderId="13" xfId="0" applyFont="1" applyFill="1" applyBorder="1" applyAlignment="1">
      <alignment horizontal="left" vertical="center" wrapText="1"/>
    </xf>
    <xf numFmtId="0" fontId="6" fillId="7" borderId="5" xfId="0" applyFont="1" applyFill="1" applyBorder="1" applyAlignment="1">
      <alignment horizontal="left" vertical="center" wrapText="1"/>
    </xf>
    <xf numFmtId="0" fontId="10" fillId="10" borderId="5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0" fillId="10" borderId="1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19" fillId="19" borderId="0" xfId="0" applyFont="1" applyFill="1" applyAlignment="1">
      <alignment horizontal="left" vertical="center" wrapText="1"/>
    </xf>
    <xf numFmtId="0" fontId="12" fillId="12" borderId="19" xfId="0" applyFont="1" applyFill="1" applyBorder="1" applyAlignment="1">
      <alignment horizontal="center" vertical="center" wrapText="1"/>
    </xf>
    <xf numFmtId="0" fontId="10" fillId="10" borderId="19" xfId="0" applyFont="1" applyFill="1" applyBorder="1" applyAlignment="1">
      <alignment horizontal="center" vertical="center" wrapText="1"/>
    </xf>
    <xf numFmtId="0" fontId="10" fillId="10" borderId="19" xfId="0" applyFont="1" applyFill="1" applyBorder="1" applyAlignment="1">
      <alignment horizontal="left" vertical="center" wrapText="1"/>
    </xf>
    <xf numFmtId="0" fontId="11" fillId="11" borderId="19" xfId="0" applyFont="1" applyFill="1" applyBorder="1" applyAlignment="1">
      <alignment horizontal="center" vertical="center" wrapText="1"/>
    </xf>
    <xf numFmtId="4" fontId="13" fillId="13" borderId="19" xfId="0" applyNumberFormat="1" applyFont="1" applyFill="1" applyBorder="1" applyAlignment="1">
      <alignment horizontal="center" vertical="center" wrapText="1"/>
    </xf>
    <xf numFmtId="164" fontId="14" fillId="14" borderId="20" xfId="0" applyNumberFormat="1" applyFont="1" applyFill="1" applyBorder="1" applyAlignment="1">
      <alignment horizontal="center" vertical="center" wrapText="1"/>
    </xf>
    <xf numFmtId="4" fontId="17" fillId="21" borderId="22" xfId="0" applyNumberFormat="1" applyFont="1" applyFill="1" applyBorder="1" applyAlignment="1">
      <alignment horizontal="center" vertical="center" wrapText="1"/>
    </xf>
    <xf numFmtId="164" fontId="21" fillId="21" borderId="23" xfId="0" applyNumberFormat="1" applyFont="1" applyFill="1" applyBorder="1" applyAlignment="1">
      <alignment horizontal="center" vertical="center" wrapText="1"/>
    </xf>
    <xf numFmtId="0" fontId="6" fillId="7" borderId="24" xfId="0" applyFont="1" applyFill="1" applyBorder="1" applyAlignment="1">
      <alignment horizontal="left" vertical="center" wrapText="1"/>
    </xf>
    <xf numFmtId="0" fontId="6" fillId="7" borderId="25" xfId="0" applyFont="1" applyFill="1" applyBorder="1" applyAlignment="1">
      <alignment horizontal="center" vertical="center" wrapText="1"/>
    </xf>
    <xf numFmtId="0" fontId="6" fillId="7" borderId="25" xfId="0" applyFont="1" applyFill="1" applyBorder="1" applyAlignment="1">
      <alignment horizontal="left" vertical="center" wrapText="1"/>
    </xf>
    <xf numFmtId="0" fontId="7" fillId="8" borderId="25" xfId="0" applyFont="1" applyFill="1" applyBorder="1" applyAlignment="1">
      <alignment horizontal="center" vertical="center" wrapText="1"/>
    </xf>
    <xf numFmtId="4" fontId="8" fillId="9" borderId="25" xfId="0" applyNumberFormat="1" applyFont="1" applyFill="1" applyBorder="1" applyAlignment="1">
      <alignment horizontal="center" vertical="center" wrapText="1"/>
    </xf>
    <xf numFmtId="164" fontId="21" fillId="21" borderId="26" xfId="0" applyNumberFormat="1" applyFont="1" applyFill="1" applyBorder="1" applyAlignment="1">
      <alignment horizontal="center" vertical="center" wrapText="1"/>
    </xf>
    <xf numFmtId="0" fontId="14" fillId="10" borderId="5" xfId="0" applyFont="1" applyFill="1" applyBorder="1" applyAlignment="1">
      <alignment horizontal="left" vertical="center" wrapText="1"/>
    </xf>
    <xf numFmtId="0" fontId="14" fillId="12" borderId="1" xfId="0" applyFont="1" applyFill="1" applyBorder="1" applyAlignment="1">
      <alignment horizontal="center" vertical="center" wrapText="1"/>
    </xf>
    <xf numFmtId="0" fontId="14" fillId="12" borderId="1" xfId="0" applyFont="1" applyFill="1" applyBorder="1" applyAlignment="1">
      <alignment horizontal="left" vertical="center" wrapText="1"/>
    </xf>
    <xf numFmtId="4" fontId="14" fillId="13" borderId="1" xfId="0" applyNumberFormat="1" applyFont="1" applyFill="1" applyBorder="1" applyAlignment="1">
      <alignment horizontal="center" vertical="center" wrapText="1"/>
    </xf>
    <xf numFmtId="0" fontId="24" fillId="0" borderId="0" xfId="0" applyFont="1"/>
    <xf numFmtId="0" fontId="14" fillId="14" borderId="1" xfId="0" applyFont="1" applyFill="1" applyBorder="1" applyAlignment="1">
      <alignment horizontal="center" vertical="center" wrapText="1"/>
    </xf>
    <xf numFmtId="0" fontId="14" fillId="14" borderId="1" xfId="0" applyFont="1" applyFill="1" applyBorder="1" applyAlignment="1">
      <alignment horizontal="left" vertical="top" wrapText="1"/>
    </xf>
    <xf numFmtId="0" fontId="14" fillId="10" borderId="1" xfId="0" applyFont="1" applyFill="1" applyBorder="1" applyAlignment="1">
      <alignment horizontal="center" vertical="center" wrapText="1"/>
    </xf>
    <xf numFmtId="4" fontId="14" fillId="14" borderId="1" xfId="0" applyNumberFormat="1" applyFont="1" applyFill="1" applyBorder="1" applyAlignment="1">
      <alignment horizontal="center" vertical="center" wrapText="1"/>
    </xf>
    <xf numFmtId="0" fontId="14" fillId="10" borderId="1" xfId="0" applyFont="1" applyFill="1" applyBorder="1" applyAlignment="1">
      <alignment horizontal="left" vertical="center" wrapText="1"/>
    </xf>
    <xf numFmtId="0" fontId="14" fillId="11" borderId="1" xfId="0" applyFont="1" applyFill="1" applyBorder="1" applyAlignment="1">
      <alignment horizontal="center" vertical="center" wrapText="1"/>
    </xf>
    <xf numFmtId="0" fontId="14" fillId="10" borderId="19" xfId="0" applyFont="1" applyFill="1" applyBorder="1" applyAlignment="1">
      <alignment horizontal="left" vertical="center" wrapText="1"/>
    </xf>
    <xf numFmtId="4" fontId="14" fillId="13" borderId="19" xfId="0" applyNumberFormat="1" applyFont="1" applyFill="1" applyBorder="1" applyAlignment="1">
      <alignment horizontal="center" vertical="center" wrapText="1"/>
    </xf>
    <xf numFmtId="0" fontId="14" fillId="10" borderId="19" xfId="0" applyFont="1" applyFill="1" applyBorder="1" applyAlignment="1">
      <alignment horizontal="center" vertical="center" wrapText="1"/>
    </xf>
    <xf numFmtId="4" fontId="18" fillId="18" borderId="0" xfId="0" applyNumberFormat="1" applyFont="1" applyFill="1" applyAlignment="1">
      <alignment vertical="center" wrapText="1"/>
    </xf>
    <xf numFmtId="0" fontId="17" fillId="17" borderId="0" xfId="0" applyFont="1" applyFill="1" applyAlignment="1">
      <alignment vertical="center" wrapText="1"/>
    </xf>
    <xf numFmtId="4" fontId="17" fillId="17" borderId="0" xfId="0" applyNumberFormat="1" applyFont="1" applyFill="1" applyAlignment="1">
      <alignment vertical="center" wrapText="1"/>
    </xf>
    <xf numFmtId="4" fontId="17" fillId="17" borderId="0" xfId="0" applyNumberFormat="1" applyFont="1" applyFill="1" applyAlignment="1">
      <alignment horizontal="center" vertical="center" wrapText="1"/>
    </xf>
    <xf numFmtId="4" fontId="15" fillId="15" borderId="0" xfId="0" applyNumberFormat="1" applyFont="1" applyFill="1" applyAlignment="1">
      <alignment vertical="center" wrapText="1"/>
    </xf>
    <xf numFmtId="0" fontId="15" fillId="15" borderId="0" xfId="0" applyFont="1" applyFill="1" applyAlignment="1">
      <alignment horizontal="center" vertical="center" wrapText="1"/>
    </xf>
    <xf numFmtId="0" fontId="9" fillId="15" borderId="0" xfId="0" applyFont="1" applyFill="1" applyAlignment="1">
      <alignment horizontal="left" vertical="center" wrapText="1"/>
    </xf>
    <xf numFmtId="0" fontId="15" fillId="15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" fontId="8" fillId="9" borderId="6" xfId="0" applyNumberFormat="1" applyFont="1" applyFill="1" applyBorder="1" applyAlignment="1">
      <alignment horizontal="center" vertical="center" wrapText="1"/>
    </xf>
    <xf numFmtId="0" fontId="14" fillId="10" borderId="18" xfId="0" applyFont="1" applyFill="1" applyBorder="1" applyAlignment="1">
      <alignment horizontal="left" vertical="center" wrapText="1"/>
    </xf>
    <xf numFmtId="4" fontId="15" fillId="15" borderId="0" xfId="0" applyNumberFormat="1" applyFont="1" applyFill="1" applyAlignment="1">
      <alignment horizontal="center" vertical="center" wrapText="1"/>
    </xf>
    <xf numFmtId="4" fontId="5" fillId="6" borderId="8" xfId="0" applyNumberFormat="1" applyFont="1" applyFill="1" applyBorder="1" applyAlignment="1">
      <alignment horizontal="center" vertical="center" wrapText="1"/>
    </xf>
    <xf numFmtId="4" fontId="6" fillId="7" borderId="25" xfId="0" applyNumberFormat="1" applyFont="1" applyFill="1" applyBorder="1" applyAlignment="1">
      <alignment horizontal="center" vertical="center" wrapText="1"/>
    </xf>
    <xf numFmtId="4" fontId="6" fillId="7" borderId="1" xfId="0" applyNumberFormat="1" applyFont="1" applyFill="1" applyBorder="1" applyAlignment="1">
      <alignment horizontal="center" vertical="center" wrapText="1"/>
    </xf>
    <xf numFmtId="4" fontId="14" fillId="12" borderId="1" xfId="0" applyNumberFormat="1" applyFont="1" applyFill="1" applyBorder="1" applyAlignment="1">
      <alignment horizontal="center" vertical="center" wrapText="1"/>
    </xf>
    <xf numFmtId="4" fontId="14" fillId="10" borderId="1" xfId="0" applyNumberFormat="1" applyFont="1" applyFill="1" applyBorder="1" applyAlignment="1">
      <alignment horizontal="center" vertical="center" wrapText="1"/>
    </xf>
    <xf numFmtId="4" fontId="14" fillId="10" borderId="19" xfId="0" applyNumberFormat="1" applyFont="1" applyFill="1" applyBorder="1" applyAlignment="1">
      <alignment horizontal="center" vertical="center" wrapText="1"/>
    </xf>
    <xf numFmtId="4" fontId="20" fillId="20" borderId="0" xfId="0" applyNumberFormat="1" applyFont="1" applyFill="1" applyAlignment="1">
      <alignment horizontal="center" vertical="center" wrapText="1"/>
    </xf>
    <xf numFmtId="4" fontId="16" fillId="16" borderId="0" xfId="0" applyNumberFormat="1" applyFont="1" applyFill="1" applyAlignment="1">
      <alignment horizontal="center" vertical="center" wrapText="1"/>
    </xf>
    <xf numFmtId="0" fontId="0" fillId="0" borderId="13" xfId="0" applyBorder="1"/>
    <xf numFmtId="0" fontId="0" fillId="0" borderId="14" xfId="0" applyBorder="1"/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horizontal="center"/>
    </xf>
    <xf numFmtId="0" fontId="25" fillId="0" borderId="0" xfId="0" applyFont="1"/>
    <xf numFmtId="0" fontId="27" fillId="0" borderId="5" xfId="0" applyFont="1" applyBorder="1"/>
    <xf numFmtId="0" fontId="27" fillId="0" borderId="1" xfId="0" applyFont="1" applyBorder="1" applyAlignment="1">
      <alignment wrapText="1"/>
    </xf>
    <xf numFmtId="10" fontId="27" fillId="0" borderId="1" xfId="0" applyNumberFormat="1" applyFont="1" applyBorder="1" applyAlignment="1">
      <alignment horizontal="center"/>
    </xf>
    <xf numFmtId="0" fontId="26" fillId="0" borderId="1" xfId="0" applyFont="1" applyBorder="1" applyAlignment="1">
      <alignment wrapText="1"/>
    </xf>
    <xf numFmtId="0" fontId="27" fillId="0" borderId="13" xfId="0" applyFont="1" applyBorder="1"/>
    <xf numFmtId="0" fontId="27" fillId="0" borderId="0" xfId="0" applyFont="1"/>
    <xf numFmtId="0" fontId="27" fillId="0" borderId="0" xfId="0" applyFont="1" applyAlignment="1">
      <alignment horizontal="center"/>
    </xf>
    <xf numFmtId="0" fontId="27" fillId="0" borderId="15" xfId="0" applyFont="1" applyBorder="1"/>
    <xf numFmtId="0" fontId="27" fillId="0" borderId="16" xfId="0" applyFont="1" applyBorder="1" applyAlignment="1">
      <alignment horizontal="center"/>
    </xf>
    <xf numFmtId="0" fontId="27" fillId="0" borderId="16" xfId="0" applyFont="1" applyBorder="1"/>
    <xf numFmtId="10" fontId="27" fillId="0" borderId="6" xfId="0" applyNumberFormat="1" applyFont="1" applyBorder="1" applyAlignment="1">
      <alignment horizontal="center"/>
    </xf>
    <xf numFmtId="0" fontId="27" fillId="0" borderId="14" xfId="0" applyFont="1" applyBorder="1"/>
    <xf numFmtId="0" fontId="27" fillId="0" borderId="17" xfId="0" applyFont="1" applyBorder="1"/>
    <xf numFmtId="0" fontId="27" fillId="0" borderId="5" xfId="0" applyFont="1" applyBorder="1" applyAlignment="1">
      <alignment horizontal="center"/>
    </xf>
    <xf numFmtId="165" fontId="27" fillId="0" borderId="1" xfId="0" applyNumberFormat="1" applyFont="1" applyBorder="1" applyAlignment="1">
      <alignment horizontal="left"/>
    </xf>
    <xf numFmtId="0" fontId="10" fillId="11" borderId="19" xfId="0" applyFont="1" applyFill="1" applyBorder="1" applyAlignment="1">
      <alignment horizontal="center" vertical="center" wrapText="1"/>
    </xf>
    <xf numFmtId="0" fontId="29" fillId="0" borderId="0" xfId="0" applyFont="1"/>
    <xf numFmtId="0" fontId="30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left"/>
    </xf>
    <xf numFmtId="0" fontId="29" fillId="0" borderId="0" xfId="0" applyFont="1" applyAlignment="1">
      <alignment horizontal="center"/>
    </xf>
    <xf numFmtId="0" fontId="17" fillId="17" borderId="0" xfId="0" applyFont="1" applyFill="1" applyAlignment="1">
      <alignment horizontal="right" vertical="top" wrapText="1"/>
    </xf>
    <xf numFmtId="0" fontId="21" fillId="20" borderId="0" xfId="0" applyFont="1" applyFill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7" fillId="21" borderId="21" xfId="0" applyFont="1" applyFill="1" applyBorder="1" applyAlignment="1">
      <alignment horizontal="center" vertical="top" wrapText="1"/>
    </xf>
    <xf numFmtId="0" fontId="17" fillId="21" borderId="22" xfId="0" applyFont="1" applyFill="1" applyBorder="1" applyAlignment="1">
      <alignment horizontal="center" vertical="top" wrapText="1"/>
    </xf>
    <xf numFmtId="0" fontId="2" fillId="3" borderId="15" xfId="0" applyFont="1" applyFill="1" applyBorder="1" applyAlignment="1">
      <alignment horizontal="center" wrapText="1"/>
    </xf>
    <xf numFmtId="0" fontId="0" fillId="0" borderId="16" xfId="0" applyBorder="1"/>
    <xf numFmtId="0" fontId="0" fillId="0" borderId="17" xfId="0" applyBorder="1"/>
    <xf numFmtId="0" fontId="3" fillId="4" borderId="2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4" fontId="4" fillId="5" borderId="3" xfId="0" applyNumberFormat="1" applyFont="1" applyFill="1" applyBorder="1" applyAlignment="1">
      <alignment horizontal="center" vertical="center" wrapText="1"/>
    </xf>
    <xf numFmtId="4" fontId="3" fillId="4" borderId="3" xfId="0" applyNumberFormat="1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top" wrapText="1"/>
    </xf>
    <xf numFmtId="4" fontId="1" fillId="2" borderId="11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10" fontId="15" fillId="15" borderId="0" xfId="0" applyNumberFormat="1" applyFont="1" applyFill="1" applyAlignment="1">
      <alignment horizontal="center" vertical="center" wrapText="1"/>
    </xf>
    <xf numFmtId="0" fontId="9" fillId="15" borderId="0" xfId="0" applyFont="1" applyFill="1" applyAlignment="1">
      <alignment horizontal="center" vertical="center" wrapText="1"/>
    </xf>
    <xf numFmtId="0" fontId="15" fillId="15" borderId="0" xfId="0" applyFont="1" applyFill="1" applyAlignment="1">
      <alignment horizontal="center" vertical="center" wrapText="1"/>
    </xf>
    <xf numFmtId="0" fontId="15" fillId="15" borderId="14" xfId="0" applyFont="1" applyFill="1" applyBorder="1" applyAlignment="1">
      <alignment horizontal="center" vertical="center" wrapText="1"/>
    </xf>
    <xf numFmtId="0" fontId="9" fillId="15" borderId="0" xfId="0" applyFont="1" applyFill="1" applyAlignment="1">
      <alignment horizontal="left" vertical="top" wrapText="1"/>
    </xf>
    <xf numFmtId="0" fontId="15" fillId="15" borderId="0" xfId="0" applyFont="1" applyFill="1" applyAlignment="1">
      <alignment horizontal="left" vertical="top" wrapText="1"/>
    </xf>
    <xf numFmtId="0" fontId="26" fillId="22" borderId="5" xfId="0" applyFont="1" applyFill="1" applyBorder="1" applyAlignment="1">
      <alignment horizontal="center" vertical="center"/>
    </xf>
    <xf numFmtId="0" fontId="22" fillId="22" borderId="27" xfId="0" applyFont="1" applyFill="1" applyBorder="1" applyAlignment="1">
      <alignment horizontal="center"/>
    </xf>
    <xf numFmtId="0" fontId="22" fillId="22" borderId="28" xfId="0" applyFont="1" applyFill="1" applyBorder="1" applyAlignment="1">
      <alignment horizontal="center"/>
    </xf>
    <xf numFmtId="0" fontId="22" fillId="22" borderId="29" xfId="0" applyFont="1" applyFill="1" applyBorder="1" applyAlignment="1">
      <alignment horizontal="center"/>
    </xf>
    <xf numFmtId="0" fontId="26" fillId="22" borderId="1" xfId="0" applyFont="1" applyFill="1" applyBorder="1" applyAlignment="1">
      <alignment horizontal="center" vertical="center"/>
    </xf>
    <xf numFmtId="0" fontId="26" fillId="22" borderId="6" xfId="0" applyFont="1" applyFill="1" applyBorder="1" applyAlignment="1">
      <alignment horizontal="center" vertical="center"/>
    </xf>
    <xf numFmtId="0" fontId="26" fillId="2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144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24"/>
  <sheetViews>
    <sheetView showOutlineSymbols="0" showWhiteSpace="0" workbookViewId="0">
      <pane ySplit="10" topLeftCell="A201" activePane="bottomLeft" state="frozen"/>
      <selection pane="bottomLeft" sqref="A1:M220"/>
    </sheetView>
  </sheetViews>
  <sheetFormatPr defaultRowHeight="14.25" x14ac:dyDescent="0.2"/>
  <cols>
    <col min="1" max="1" width="8.25" style="24" customWidth="1"/>
    <col min="2" max="2" width="8.125" style="15" customWidth="1"/>
    <col min="3" max="3" width="6.75" style="15" customWidth="1"/>
    <col min="4" max="4" width="60" style="24" bestFit="1" customWidth="1"/>
    <col min="5" max="5" width="7.25" style="15" customWidth="1"/>
    <col min="6" max="6" width="11.375" style="15" customWidth="1"/>
    <col min="7" max="12" width="10" style="16" bestFit="1" customWidth="1"/>
    <col min="13" max="13" width="10" style="15" bestFit="1" customWidth="1"/>
  </cols>
  <sheetData>
    <row r="1" spans="1:13" ht="15" x14ac:dyDescent="0.2">
      <c r="A1" s="20"/>
      <c r="B1" s="1"/>
      <c r="C1" s="1"/>
      <c r="D1" s="26" t="s">
        <v>409</v>
      </c>
      <c r="E1" s="122" t="s">
        <v>1</v>
      </c>
      <c r="F1" s="122"/>
      <c r="G1" s="123" t="s">
        <v>2</v>
      </c>
      <c r="H1" s="123"/>
      <c r="I1" s="123"/>
      <c r="J1" s="124" t="s">
        <v>3</v>
      </c>
      <c r="K1" s="124"/>
      <c r="L1" s="124"/>
      <c r="M1" s="125"/>
    </row>
    <row r="2" spans="1:13" ht="25.5" customHeight="1" x14ac:dyDescent="0.2">
      <c r="A2" s="21"/>
      <c r="B2" s="62"/>
      <c r="C2" s="62"/>
      <c r="D2" s="63" t="s">
        <v>410</v>
      </c>
      <c r="E2" s="130" t="s">
        <v>408</v>
      </c>
      <c r="F2" s="131"/>
      <c r="G2" s="126">
        <v>0.26290000000000002</v>
      </c>
      <c r="H2" s="126"/>
      <c r="I2" s="126"/>
      <c r="J2" s="127" t="s">
        <v>411</v>
      </c>
      <c r="K2" s="128"/>
      <c r="L2" s="128"/>
      <c r="M2" s="129"/>
    </row>
    <row r="3" spans="1:13" x14ac:dyDescent="0.2">
      <c r="A3" s="21"/>
      <c r="B3" s="62"/>
      <c r="C3" s="62"/>
      <c r="D3" s="64"/>
      <c r="E3" s="131"/>
      <c r="F3" s="131"/>
      <c r="G3" s="68"/>
      <c r="H3" s="68"/>
      <c r="I3" s="68"/>
      <c r="J3" s="68"/>
      <c r="K3" s="68"/>
      <c r="L3" s="68"/>
      <c r="M3" s="2"/>
    </row>
    <row r="4" spans="1:13" x14ac:dyDescent="0.2">
      <c r="A4" s="21"/>
      <c r="B4" s="62"/>
      <c r="C4" s="62"/>
      <c r="D4" s="64"/>
      <c r="E4" s="131"/>
      <c r="F4" s="131"/>
      <c r="G4" s="68"/>
      <c r="H4" s="68"/>
      <c r="I4" s="68"/>
      <c r="J4" s="68"/>
      <c r="K4" s="68"/>
      <c r="L4" s="68"/>
      <c r="M4" s="2"/>
    </row>
    <row r="5" spans="1:13" ht="15" x14ac:dyDescent="0.2">
      <c r="A5" s="21"/>
      <c r="B5" s="62"/>
      <c r="C5" s="62"/>
      <c r="D5" s="65" t="s">
        <v>0</v>
      </c>
      <c r="E5" s="131"/>
      <c r="F5" s="131"/>
      <c r="G5" s="68"/>
      <c r="H5" s="68"/>
      <c r="I5" s="68"/>
      <c r="J5" s="68"/>
      <c r="K5" s="68"/>
      <c r="L5" s="68"/>
      <c r="M5" s="2"/>
    </row>
    <row r="6" spans="1:13" ht="25.5" x14ac:dyDescent="0.2">
      <c r="A6" s="21"/>
      <c r="B6" s="62"/>
      <c r="C6" s="62"/>
      <c r="D6" s="63" t="s">
        <v>407</v>
      </c>
      <c r="E6" s="131"/>
      <c r="F6" s="131"/>
      <c r="G6" s="68"/>
      <c r="H6" s="68"/>
      <c r="I6" s="68"/>
      <c r="J6" s="68"/>
      <c r="K6" s="68"/>
      <c r="L6" s="68"/>
      <c r="M6" s="2"/>
    </row>
    <row r="7" spans="1:13" x14ac:dyDescent="0.2">
      <c r="A7" s="21"/>
      <c r="B7" s="62"/>
      <c r="C7" s="62"/>
      <c r="D7" s="64"/>
      <c r="E7" s="62"/>
      <c r="F7" s="62"/>
      <c r="G7" s="68"/>
      <c r="H7" s="68"/>
      <c r="I7" s="68"/>
      <c r="J7" s="68"/>
      <c r="K7" s="68"/>
      <c r="L7" s="68"/>
      <c r="M7" s="2"/>
    </row>
    <row r="8" spans="1:13" ht="15.75" thickBot="1" x14ac:dyDescent="0.3">
      <c r="A8" s="109" t="s">
        <v>4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1"/>
    </row>
    <row r="9" spans="1:13" ht="15" x14ac:dyDescent="0.2">
      <c r="A9" s="112" t="s">
        <v>5</v>
      </c>
      <c r="B9" s="114" t="s">
        <v>6</v>
      </c>
      <c r="C9" s="116" t="s">
        <v>7</v>
      </c>
      <c r="D9" s="116" t="s">
        <v>8</v>
      </c>
      <c r="E9" s="117" t="s">
        <v>9</v>
      </c>
      <c r="F9" s="114" t="s">
        <v>10</v>
      </c>
      <c r="G9" s="118" t="s">
        <v>11</v>
      </c>
      <c r="H9" s="119"/>
      <c r="I9" s="119"/>
      <c r="J9" s="118" t="s">
        <v>12</v>
      </c>
      <c r="K9" s="119"/>
      <c r="L9" s="119"/>
      <c r="M9" s="120" t="s">
        <v>13</v>
      </c>
    </row>
    <row r="10" spans="1:13" ht="15.75" thickBot="1" x14ac:dyDescent="0.25">
      <c r="A10" s="113"/>
      <c r="B10" s="115"/>
      <c r="C10" s="115"/>
      <c r="D10" s="115"/>
      <c r="E10" s="115"/>
      <c r="F10" s="115"/>
      <c r="G10" s="69" t="s">
        <v>14</v>
      </c>
      <c r="H10" s="69" t="s">
        <v>15</v>
      </c>
      <c r="I10" s="69" t="s">
        <v>12</v>
      </c>
      <c r="J10" s="69" t="s">
        <v>14</v>
      </c>
      <c r="K10" s="69" t="s">
        <v>15</v>
      </c>
      <c r="L10" s="69" t="s">
        <v>12</v>
      </c>
      <c r="M10" s="121"/>
    </row>
    <row r="11" spans="1:13" x14ac:dyDescent="0.2">
      <c r="A11" s="37" t="s">
        <v>16</v>
      </c>
      <c r="B11" s="38"/>
      <c r="C11" s="38"/>
      <c r="D11" s="39" t="s">
        <v>17</v>
      </c>
      <c r="E11" s="38"/>
      <c r="F11" s="40"/>
      <c r="G11" s="70"/>
      <c r="H11" s="70"/>
      <c r="I11" s="70"/>
      <c r="J11" s="41">
        <f>SUM(J12:J13)</f>
        <v>773.82935000000009</v>
      </c>
      <c r="K11" s="41">
        <f>SUM(K12:K13)</f>
        <v>2094.1640499999999</v>
      </c>
      <c r="L11" s="41">
        <f>SUM(L12:L13)</f>
        <v>2867.9934000000003</v>
      </c>
      <c r="M11" s="42">
        <f t="shared" ref="M11:M41" si="0">L11/$L$213</f>
        <v>8.5790537088325722E-3</v>
      </c>
    </row>
    <row r="12" spans="1:13" x14ac:dyDescent="0.2">
      <c r="A12" s="23" t="s">
        <v>18</v>
      </c>
      <c r="B12" s="7" t="s">
        <v>19</v>
      </c>
      <c r="C12" s="17" t="s">
        <v>20</v>
      </c>
      <c r="D12" s="25" t="s">
        <v>21</v>
      </c>
      <c r="E12" s="18" t="s">
        <v>22</v>
      </c>
      <c r="F12" s="7">
        <v>6.0449999999999999</v>
      </c>
      <c r="G12" s="8">
        <v>94.43</v>
      </c>
      <c r="H12" s="8">
        <v>36.090000000000003</v>
      </c>
      <c r="I12" s="8">
        <f>H12+G12</f>
        <v>130.52000000000001</v>
      </c>
      <c r="J12" s="8">
        <f>G12*F12</f>
        <v>570.82935000000009</v>
      </c>
      <c r="K12" s="8">
        <f>H12*F12</f>
        <v>218.16405000000003</v>
      </c>
      <c r="L12" s="8">
        <f>K12+J12</f>
        <v>788.99340000000007</v>
      </c>
      <c r="M12" s="9">
        <f t="shared" si="0"/>
        <v>2.3601228491371075E-3</v>
      </c>
    </row>
    <row r="13" spans="1:13" ht="25.5" x14ac:dyDescent="0.2">
      <c r="A13" s="23" t="s">
        <v>508</v>
      </c>
      <c r="B13" s="7" t="s">
        <v>23</v>
      </c>
      <c r="C13" s="17" t="s">
        <v>24</v>
      </c>
      <c r="D13" s="25" t="s">
        <v>25</v>
      </c>
      <c r="E13" s="18" t="s">
        <v>26</v>
      </c>
      <c r="F13" s="7">
        <f>10*14*5</f>
        <v>700</v>
      </c>
      <c r="G13" s="8">
        <v>0.28999999999999998</v>
      </c>
      <c r="H13" s="8">
        <v>2.68</v>
      </c>
      <c r="I13" s="8">
        <f t="shared" ref="I13" si="1">H13+G13</f>
        <v>2.97</v>
      </c>
      <c r="J13" s="8">
        <f>G13*F13</f>
        <v>203</v>
      </c>
      <c r="K13" s="8">
        <f>H13*F13</f>
        <v>1876</v>
      </c>
      <c r="L13" s="8">
        <f t="shared" ref="L13" si="2">K13+J13</f>
        <v>2079</v>
      </c>
      <c r="M13" s="9">
        <f t="shared" si="0"/>
        <v>6.2189308596954634E-3</v>
      </c>
    </row>
    <row r="14" spans="1:13" x14ac:dyDescent="0.2">
      <c r="A14" s="22" t="s">
        <v>27</v>
      </c>
      <c r="B14" s="4"/>
      <c r="C14" s="4"/>
      <c r="D14" s="27" t="s">
        <v>28</v>
      </c>
      <c r="E14" s="4"/>
      <c r="F14" s="3"/>
      <c r="G14" s="71"/>
      <c r="H14" s="71"/>
      <c r="I14" s="71"/>
      <c r="J14" s="5">
        <f>J15+J22+J31+J37+J64+J76+J81+J87+J99+J113+J131</f>
        <v>71933.839200000002</v>
      </c>
      <c r="K14" s="5">
        <f>K15+K22+K31+K37+K64+K76+K81+K87+K99+K113+K131</f>
        <v>205342.95930000002</v>
      </c>
      <c r="L14" s="5">
        <f>L15+L22+L31+L37+L64+L76+L81+L87+L99+L113+L131</f>
        <v>277276.79850000003</v>
      </c>
      <c r="M14" s="6">
        <f t="shared" si="0"/>
        <v>0.82942050931659972</v>
      </c>
    </row>
    <row r="15" spans="1:13" x14ac:dyDescent="0.2">
      <c r="A15" s="22" t="s">
        <v>29</v>
      </c>
      <c r="B15" s="4"/>
      <c r="C15" s="4"/>
      <c r="D15" s="27" t="s">
        <v>30</v>
      </c>
      <c r="E15" s="4"/>
      <c r="F15" s="3"/>
      <c r="G15" s="71"/>
      <c r="H15" s="71"/>
      <c r="I15" s="71"/>
      <c r="J15" s="5">
        <f>SUM(J16:J21)</f>
        <v>11360.304200000002</v>
      </c>
      <c r="K15" s="5">
        <f>SUM(K16:K21)</f>
        <v>38575.625</v>
      </c>
      <c r="L15" s="5">
        <f>SUM(L16:L21)</f>
        <v>49935.929200000006</v>
      </c>
      <c r="M15" s="6">
        <f t="shared" si="0"/>
        <v>0.14937378119742559</v>
      </c>
    </row>
    <row r="16" spans="1:13" ht="25.5" x14ac:dyDescent="0.2">
      <c r="A16" s="23" t="s">
        <v>31</v>
      </c>
      <c r="B16" s="7" t="s">
        <v>32</v>
      </c>
      <c r="C16" s="17" t="s">
        <v>24</v>
      </c>
      <c r="D16" s="25" t="s">
        <v>33</v>
      </c>
      <c r="E16" s="18" t="s">
        <v>34</v>
      </c>
      <c r="F16" s="7">
        <v>207.65</v>
      </c>
      <c r="G16" s="8">
        <v>10.55</v>
      </c>
      <c r="H16" s="8">
        <v>3.9</v>
      </c>
      <c r="I16" s="8">
        <f t="shared" ref="I16:I21" si="3">H16+G16</f>
        <v>14.450000000000001</v>
      </c>
      <c r="J16" s="8">
        <f>G16*F16</f>
        <v>2190.7075</v>
      </c>
      <c r="K16" s="8">
        <f>H16*F16</f>
        <v>809.83500000000004</v>
      </c>
      <c r="L16" s="8">
        <f>K16+J16</f>
        <v>3000.5425</v>
      </c>
      <c r="M16" s="9">
        <f t="shared" si="0"/>
        <v>8.9755489894553994E-3</v>
      </c>
    </row>
    <row r="17" spans="1:13" ht="38.25" x14ac:dyDescent="0.2">
      <c r="A17" s="23" t="s">
        <v>35</v>
      </c>
      <c r="B17" s="7" t="s">
        <v>36</v>
      </c>
      <c r="C17" s="17" t="s">
        <v>24</v>
      </c>
      <c r="D17" s="25" t="s">
        <v>37</v>
      </c>
      <c r="E17" s="18" t="s">
        <v>34</v>
      </c>
      <c r="F17" s="7">
        <v>207.65</v>
      </c>
      <c r="G17" s="8">
        <f>14.33+15</f>
        <v>29.33</v>
      </c>
      <c r="H17" s="8">
        <f>149.31-15</f>
        <v>134.31</v>
      </c>
      <c r="I17" s="8">
        <f t="shared" si="3"/>
        <v>163.63999999999999</v>
      </c>
      <c r="J17" s="8">
        <f t="shared" ref="J17:J21" si="4">G17*F17</f>
        <v>6090.3744999999999</v>
      </c>
      <c r="K17" s="8">
        <f t="shared" ref="K17:K21" si="5">H17*F17</f>
        <v>27889.4715</v>
      </c>
      <c r="L17" s="8">
        <f t="shared" ref="L17:L21" si="6">K17+J17</f>
        <v>33979.845999999998</v>
      </c>
      <c r="M17" s="9">
        <f t="shared" si="0"/>
        <v>0.10164421014771498</v>
      </c>
    </row>
    <row r="18" spans="1:13" ht="25.5" x14ac:dyDescent="0.2">
      <c r="A18" s="23" t="s">
        <v>38</v>
      </c>
      <c r="B18" s="7" t="s">
        <v>39</v>
      </c>
      <c r="C18" s="17" t="s">
        <v>24</v>
      </c>
      <c r="D18" s="25" t="s">
        <v>40</v>
      </c>
      <c r="E18" s="18" t="s">
        <v>41</v>
      </c>
      <c r="F18" s="7">
        <v>143.33000000000001</v>
      </c>
      <c r="G18" s="8">
        <v>2.4700000000000002</v>
      </c>
      <c r="H18" s="8">
        <v>15.1</v>
      </c>
      <c r="I18" s="8">
        <f t="shared" si="3"/>
        <v>17.57</v>
      </c>
      <c r="J18" s="8">
        <f t="shared" si="4"/>
        <v>354.02510000000007</v>
      </c>
      <c r="K18" s="8">
        <f t="shared" si="5"/>
        <v>2164.2830000000004</v>
      </c>
      <c r="L18" s="8">
        <f t="shared" si="6"/>
        <v>2518.3081000000002</v>
      </c>
      <c r="M18" s="9">
        <f t="shared" si="0"/>
        <v>7.5330370165036312E-3</v>
      </c>
    </row>
    <row r="19" spans="1:13" x14ac:dyDescent="0.2">
      <c r="A19" s="23" t="s">
        <v>42</v>
      </c>
      <c r="B19" s="7" t="s">
        <v>43</v>
      </c>
      <c r="C19" s="17" t="s">
        <v>20</v>
      </c>
      <c r="D19" s="25" t="s">
        <v>44</v>
      </c>
      <c r="E19" s="18" t="s">
        <v>34</v>
      </c>
      <c r="F19" s="7">
        <v>1</v>
      </c>
      <c r="G19" s="8">
        <v>53.53</v>
      </c>
      <c r="H19" s="8">
        <v>20.350000000000001</v>
      </c>
      <c r="I19" s="8">
        <f t="shared" si="3"/>
        <v>73.88</v>
      </c>
      <c r="J19" s="8">
        <f t="shared" si="4"/>
        <v>53.53</v>
      </c>
      <c r="K19" s="8">
        <f t="shared" si="5"/>
        <v>20.350000000000001</v>
      </c>
      <c r="L19" s="8">
        <f t="shared" si="6"/>
        <v>73.88</v>
      </c>
      <c r="M19" s="9">
        <f t="shared" si="0"/>
        <v>2.2099788932866801E-4</v>
      </c>
    </row>
    <row r="20" spans="1:13" ht="38.25" x14ac:dyDescent="0.2">
      <c r="A20" s="23" t="s">
        <v>45</v>
      </c>
      <c r="B20" s="7" t="s">
        <v>46</v>
      </c>
      <c r="C20" s="17" t="s">
        <v>24</v>
      </c>
      <c r="D20" s="25" t="s">
        <v>47</v>
      </c>
      <c r="E20" s="18" t="s">
        <v>34</v>
      </c>
      <c r="F20" s="7">
        <v>39.74</v>
      </c>
      <c r="G20" s="8">
        <v>32.69</v>
      </c>
      <c r="H20" s="8">
        <v>84.5</v>
      </c>
      <c r="I20" s="8">
        <f t="shared" si="3"/>
        <v>117.19</v>
      </c>
      <c r="J20" s="8">
        <f t="shared" si="4"/>
        <v>1299.1006</v>
      </c>
      <c r="K20" s="8">
        <f t="shared" si="5"/>
        <v>3358.03</v>
      </c>
      <c r="L20" s="8">
        <f t="shared" si="6"/>
        <v>4657.1306000000004</v>
      </c>
      <c r="M20" s="9">
        <f t="shared" si="0"/>
        <v>1.3930915442987999E-2</v>
      </c>
    </row>
    <row r="21" spans="1:13" ht="25.5" x14ac:dyDescent="0.2">
      <c r="A21" s="23" t="s">
        <v>45</v>
      </c>
      <c r="B21" s="7" t="s">
        <v>48</v>
      </c>
      <c r="C21" s="17" t="s">
        <v>24</v>
      </c>
      <c r="D21" s="25" t="s">
        <v>509</v>
      </c>
      <c r="E21" s="18" t="s">
        <v>34</v>
      </c>
      <c r="F21" s="7">
        <v>207.65</v>
      </c>
      <c r="G21" s="8">
        <f>1.61+5</f>
        <v>6.61</v>
      </c>
      <c r="H21" s="8">
        <f>25.87-5</f>
        <v>20.87</v>
      </c>
      <c r="I21" s="8">
        <f t="shared" si="3"/>
        <v>27.48</v>
      </c>
      <c r="J21" s="8">
        <f t="shared" si="4"/>
        <v>1372.5665000000001</v>
      </c>
      <c r="K21" s="8">
        <f t="shared" si="5"/>
        <v>4333.6555000000008</v>
      </c>
      <c r="L21" s="8">
        <f t="shared" si="6"/>
        <v>5706.2220000000007</v>
      </c>
      <c r="M21" s="9">
        <f t="shared" si="0"/>
        <v>1.7069071711434906E-2</v>
      </c>
    </row>
    <row r="22" spans="1:13" x14ac:dyDescent="0.2">
      <c r="A22" s="22" t="s">
        <v>49</v>
      </c>
      <c r="B22" s="4"/>
      <c r="C22" s="4"/>
      <c r="D22" s="27" t="s">
        <v>50</v>
      </c>
      <c r="E22" s="4"/>
      <c r="F22" s="3"/>
      <c r="G22" s="71"/>
      <c r="H22" s="71"/>
      <c r="I22" s="71"/>
      <c r="J22" s="5">
        <f>SUM(J23:J30)</f>
        <v>19595.939399999999</v>
      </c>
      <c r="K22" s="5">
        <f>SUM(K23:K30)</f>
        <v>28661.650099999999</v>
      </c>
      <c r="L22" s="5">
        <f t="shared" ref="L22" si="7">SUM(L23:L30)</f>
        <v>48257.589500000002</v>
      </c>
      <c r="M22" s="6">
        <f t="shared" si="0"/>
        <v>0.14435334899281663</v>
      </c>
    </row>
    <row r="23" spans="1:13" ht="38.25" x14ac:dyDescent="0.2">
      <c r="A23" s="23" t="s">
        <v>51</v>
      </c>
      <c r="B23" s="7" t="s">
        <v>52</v>
      </c>
      <c r="C23" s="17" t="s">
        <v>24</v>
      </c>
      <c r="D23" s="25" t="s">
        <v>53</v>
      </c>
      <c r="E23" s="18" t="s">
        <v>34</v>
      </c>
      <c r="F23" s="7">
        <v>131.13999999999999</v>
      </c>
      <c r="G23" s="8">
        <v>38</v>
      </c>
      <c r="H23" s="8">
        <v>57.63</v>
      </c>
      <c r="I23" s="8">
        <f t="shared" ref="I23:I30" si="8">H23+G23</f>
        <v>95.63</v>
      </c>
      <c r="J23" s="8">
        <f t="shared" ref="J23:J30" si="9">G23*F23</f>
        <v>4983.32</v>
      </c>
      <c r="K23" s="8">
        <f t="shared" ref="K23:K30" si="10">H23*F23</f>
        <v>7557.5981999999995</v>
      </c>
      <c r="L23" s="8">
        <f t="shared" ref="L23:L30" si="11">K23+J23</f>
        <v>12540.9182</v>
      </c>
      <c r="M23" s="9">
        <f t="shared" si="0"/>
        <v>3.7513758154351359E-2</v>
      </c>
    </row>
    <row r="24" spans="1:13" ht="44.25" customHeight="1" x14ac:dyDescent="0.2">
      <c r="A24" s="23" t="s">
        <v>54</v>
      </c>
      <c r="B24" s="7" t="s">
        <v>55</v>
      </c>
      <c r="C24" s="17" t="s">
        <v>24</v>
      </c>
      <c r="D24" s="25" t="s">
        <v>56</v>
      </c>
      <c r="E24" s="18" t="s">
        <v>34</v>
      </c>
      <c r="F24" s="7">
        <v>275.3</v>
      </c>
      <c r="G24" s="8">
        <v>5.17</v>
      </c>
      <c r="H24" s="8">
        <v>3.71</v>
      </c>
      <c r="I24" s="8">
        <f t="shared" si="8"/>
        <v>8.879999999999999</v>
      </c>
      <c r="J24" s="8">
        <f t="shared" si="9"/>
        <v>1423.3009999999999</v>
      </c>
      <c r="K24" s="8">
        <f t="shared" si="10"/>
        <v>1021.3630000000001</v>
      </c>
      <c r="L24" s="8">
        <f t="shared" si="11"/>
        <v>2444.6639999999998</v>
      </c>
      <c r="M24" s="9">
        <f t="shared" si="0"/>
        <v>7.3127447769055064E-3</v>
      </c>
    </row>
    <row r="25" spans="1:13" ht="25.5" x14ac:dyDescent="0.2">
      <c r="A25" s="23" t="s">
        <v>57</v>
      </c>
      <c r="B25" s="7" t="s">
        <v>58</v>
      </c>
      <c r="C25" s="17" t="s">
        <v>24</v>
      </c>
      <c r="D25" s="25" t="s">
        <v>59</v>
      </c>
      <c r="E25" s="18" t="s">
        <v>41</v>
      </c>
      <c r="F25" s="7">
        <v>275.3</v>
      </c>
      <c r="G25" s="8">
        <v>17.96</v>
      </c>
      <c r="H25" s="8">
        <v>10.56</v>
      </c>
      <c r="I25" s="8">
        <f t="shared" si="8"/>
        <v>28.520000000000003</v>
      </c>
      <c r="J25" s="8">
        <f t="shared" si="9"/>
        <v>4944.3880000000008</v>
      </c>
      <c r="K25" s="8">
        <f t="shared" si="10"/>
        <v>2907.1680000000001</v>
      </c>
      <c r="L25" s="8">
        <f t="shared" si="11"/>
        <v>7851.5560000000005</v>
      </c>
      <c r="M25" s="9">
        <f t="shared" si="0"/>
        <v>2.3486428044746068E-2</v>
      </c>
    </row>
    <row r="26" spans="1:13" ht="18" customHeight="1" x14ac:dyDescent="0.2">
      <c r="A26" s="23" t="s">
        <v>60</v>
      </c>
      <c r="B26" s="7" t="s">
        <v>61</v>
      </c>
      <c r="C26" s="17" t="s">
        <v>20</v>
      </c>
      <c r="D26" s="25" t="s">
        <v>62</v>
      </c>
      <c r="E26" s="18" t="s">
        <v>34</v>
      </c>
      <c r="F26" s="7">
        <v>105.3</v>
      </c>
      <c r="G26" s="8">
        <v>10.79</v>
      </c>
      <c r="H26" s="8">
        <v>5.73</v>
      </c>
      <c r="I26" s="8">
        <f t="shared" si="8"/>
        <v>16.52</v>
      </c>
      <c r="J26" s="8">
        <f t="shared" si="9"/>
        <v>1136.1869999999999</v>
      </c>
      <c r="K26" s="8">
        <f t="shared" si="10"/>
        <v>603.36900000000003</v>
      </c>
      <c r="L26" s="8">
        <f t="shared" si="11"/>
        <v>1739.556</v>
      </c>
      <c r="M26" s="9">
        <f t="shared" si="0"/>
        <v>5.2035490575124584E-3</v>
      </c>
    </row>
    <row r="27" spans="1:13" ht="38.25" x14ac:dyDescent="0.2">
      <c r="A27" s="23" t="s">
        <v>63</v>
      </c>
      <c r="B27" s="7" t="s">
        <v>64</v>
      </c>
      <c r="C27" s="17" t="s">
        <v>24</v>
      </c>
      <c r="D27" s="25" t="s">
        <v>65</v>
      </c>
      <c r="E27" s="18" t="s">
        <v>34</v>
      </c>
      <c r="F27" s="7">
        <v>224.29</v>
      </c>
      <c r="G27" s="8">
        <v>19.46</v>
      </c>
      <c r="H27" s="8">
        <v>53.01</v>
      </c>
      <c r="I27" s="8">
        <f t="shared" si="8"/>
        <v>72.47</v>
      </c>
      <c r="J27" s="8">
        <f t="shared" si="9"/>
        <v>4364.6833999999999</v>
      </c>
      <c r="K27" s="8">
        <f t="shared" si="10"/>
        <v>11889.612899999998</v>
      </c>
      <c r="L27" s="8">
        <f t="shared" si="11"/>
        <v>16254.296299999998</v>
      </c>
      <c r="M27" s="9">
        <f t="shared" si="0"/>
        <v>4.8621618500579014E-2</v>
      </c>
    </row>
    <row r="28" spans="1:13" ht="25.5" x14ac:dyDescent="0.2">
      <c r="A28" s="23" t="s">
        <v>66</v>
      </c>
      <c r="B28" s="7" t="s">
        <v>67</v>
      </c>
      <c r="C28" s="17" t="s">
        <v>24</v>
      </c>
      <c r="D28" s="25" t="s">
        <v>68</v>
      </c>
      <c r="E28" s="18" t="s">
        <v>41</v>
      </c>
      <c r="F28" s="7">
        <v>14.1</v>
      </c>
      <c r="G28" s="8">
        <v>21.6</v>
      </c>
      <c r="H28" s="8">
        <v>59.79</v>
      </c>
      <c r="I28" s="8">
        <f t="shared" si="8"/>
        <v>81.39</v>
      </c>
      <c r="J28" s="8">
        <f t="shared" si="9"/>
        <v>304.56</v>
      </c>
      <c r="K28" s="8">
        <f t="shared" si="10"/>
        <v>843.03899999999999</v>
      </c>
      <c r="L28" s="8">
        <f t="shared" si="11"/>
        <v>1147.5989999999999</v>
      </c>
      <c r="M28" s="9">
        <f t="shared" si="0"/>
        <v>3.4328229127732822E-3</v>
      </c>
    </row>
    <row r="29" spans="1:13" ht="38.25" x14ac:dyDescent="0.2">
      <c r="A29" s="23" t="s">
        <v>69</v>
      </c>
      <c r="B29" s="7" t="s">
        <v>70</v>
      </c>
      <c r="C29" s="17" t="s">
        <v>24</v>
      </c>
      <c r="D29" s="25" t="s">
        <v>71</v>
      </c>
      <c r="E29" s="18" t="s">
        <v>34</v>
      </c>
      <c r="F29" s="7">
        <v>350</v>
      </c>
      <c r="G29" s="8">
        <v>5.26</v>
      </c>
      <c r="H29" s="8">
        <v>9.66</v>
      </c>
      <c r="I29" s="8">
        <f t="shared" si="8"/>
        <v>14.92</v>
      </c>
      <c r="J29" s="8">
        <f t="shared" si="9"/>
        <v>1841</v>
      </c>
      <c r="K29" s="8">
        <f t="shared" si="10"/>
        <v>3381</v>
      </c>
      <c r="L29" s="8">
        <f t="shared" si="11"/>
        <v>5222</v>
      </c>
      <c r="M29" s="9">
        <f t="shared" si="0"/>
        <v>1.5620614213241802E-2</v>
      </c>
    </row>
    <row r="30" spans="1:13" ht="25.5" x14ac:dyDescent="0.2">
      <c r="A30" s="23"/>
      <c r="B30" s="7">
        <v>2</v>
      </c>
      <c r="C30" s="17" t="s">
        <v>404</v>
      </c>
      <c r="D30" s="25" t="s">
        <v>406</v>
      </c>
      <c r="E30" s="19" t="s">
        <v>93</v>
      </c>
      <c r="F30" s="7">
        <v>7</v>
      </c>
      <c r="G30" s="8">
        <v>85.5</v>
      </c>
      <c r="H30" s="8">
        <v>65.5</v>
      </c>
      <c r="I30" s="8">
        <f t="shared" si="8"/>
        <v>151</v>
      </c>
      <c r="J30" s="8">
        <f t="shared" si="9"/>
        <v>598.5</v>
      </c>
      <c r="K30" s="8">
        <f t="shared" si="10"/>
        <v>458.5</v>
      </c>
      <c r="L30" s="8">
        <f t="shared" si="11"/>
        <v>1057</v>
      </c>
      <c r="M30" s="9">
        <f t="shared" si="0"/>
        <v>3.1618133327071208E-3</v>
      </c>
    </row>
    <row r="31" spans="1:13" x14ac:dyDescent="0.2">
      <c r="A31" s="22" t="s">
        <v>72</v>
      </c>
      <c r="B31" s="4"/>
      <c r="C31" s="4"/>
      <c r="D31" s="27" t="s">
        <v>73</v>
      </c>
      <c r="E31" s="4"/>
      <c r="F31" s="3"/>
      <c r="G31" s="71"/>
      <c r="H31" s="71"/>
      <c r="I31" s="71"/>
      <c r="J31" s="5">
        <f>SUM(J32:J36)</f>
        <v>4868.7855999999992</v>
      </c>
      <c r="K31" s="5">
        <f t="shared" ref="K31" si="12">SUM(K32:K36)</f>
        <v>20812.231399999997</v>
      </c>
      <c r="L31" s="5">
        <f>SUM(L32:L36)</f>
        <v>25681.017</v>
      </c>
      <c r="M31" s="6">
        <f t="shared" si="0"/>
        <v>7.6819850471218767E-2</v>
      </c>
    </row>
    <row r="32" spans="1:13" ht="25.5" x14ac:dyDescent="0.2">
      <c r="A32" s="23" t="s">
        <v>74</v>
      </c>
      <c r="B32" s="7" t="s">
        <v>75</v>
      </c>
      <c r="C32" s="17" t="s">
        <v>24</v>
      </c>
      <c r="D32" s="25" t="s">
        <v>401</v>
      </c>
      <c r="E32" s="18" t="s">
        <v>34</v>
      </c>
      <c r="F32" s="7">
        <v>247.05</v>
      </c>
      <c r="G32" s="8">
        <v>3.98</v>
      </c>
      <c r="H32" s="8">
        <v>1.45</v>
      </c>
      <c r="I32" s="8">
        <f t="shared" ref="I32:I36" si="13">H32+G32</f>
        <v>5.43</v>
      </c>
      <c r="J32" s="8">
        <f t="shared" ref="J32:J36" si="14">G32*F32</f>
        <v>983.25900000000001</v>
      </c>
      <c r="K32" s="8">
        <f t="shared" ref="K32:K36" si="15">H32*F32</f>
        <v>358.22250000000003</v>
      </c>
      <c r="L32" s="8">
        <f t="shared" ref="L32:L36" si="16">K32+J32</f>
        <v>1341.4815000000001</v>
      </c>
      <c r="M32" s="9">
        <f t="shared" si="0"/>
        <v>4.0127853285524583E-3</v>
      </c>
    </row>
    <row r="33" spans="1:13" ht="25.5" x14ac:dyDescent="0.2">
      <c r="A33" s="23" t="s">
        <v>77</v>
      </c>
      <c r="B33" s="7" t="s">
        <v>78</v>
      </c>
      <c r="C33" s="17" t="s">
        <v>24</v>
      </c>
      <c r="D33" s="25" t="s">
        <v>79</v>
      </c>
      <c r="E33" s="18" t="s">
        <v>34</v>
      </c>
      <c r="F33" s="7">
        <v>212.54</v>
      </c>
      <c r="G33" s="8">
        <v>13.17</v>
      </c>
      <c r="H33" s="8">
        <v>80.28</v>
      </c>
      <c r="I33" s="8">
        <f t="shared" si="13"/>
        <v>93.45</v>
      </c>
      <c r="J33" s="8">
        <f t="shared" si="14"/>
        <v>2799.1518000000001</v>
      </c>
      <c r="K33" s="8">
        <f t="shared" si="15"/>
        <v>17062.711199999998</v>
      </c>
      <c r="L33" s="8">
        <f t="shared" si="16"/>
        <v>19861.862999999998</v>
      </c>
      <c r="M33" s="9">
        <f t="shared" si="0"/>
        <v>5.9412964281742905E-2</v>
      </c>
    </row>
    <row r="34" spans="1:13" x14ac:dyDescent="0.2">
      <c r="A34" s="23" t="s">
        <v>80</v>
      </c>
      <c r="B34" s="7" t="s">
        <v>81</v>
      </c>
      <c r="C34" s="17" t="s">
        <v>20</v>
      </c>
      <c r="D34" s="25" t="s">
        <v>514</v>
      </c>
      <c r="E34" s="18" t="s">
        <v>34</v>
      </c>
      <c r="F34" s="7">
        <v>34.51</v>
      </c>
      <c r="G34" s="8">
        <f>6.27+13</f>
        <v>19.27</v>
      </c>
      <c r="H34" s="8">
        <f>90.92-13</f>
        <v>77.92</v>
      </c>
      <c r="I34" s="8">
        <f t="shared" si="13"/>
        <v>97.19</v>
      </c>
      <c r="J34" s="8">
        <f t="shared" si="14"/>
        <v>665.0077</v>
      </c>
      <c r="K34" s="8">
        <f t="shared" si="15"/>
        <v>2689.0191999999997</v>
      </c>
      <c r="L34" s="8">
        <f t="shared" si="16"/>
        <v>3354.0268999999998</v>
      </c>
      <c r="M34" s="9">
        <f t="shared" si="0"/>
        <v>1.0032929962798802E-2</v>
      </c>
    </row>
    <row r="35" spans="1:13" ht="25.5" x14ac:dyDescent="0.2">
      <c r="A35" s="23" t="s">
        <v>82</v>
      </c>
      <c r="B35" s="7" t="s">
        <v>83</v>
      </c>
      <c r="C35" s="17" t="s">
        <v>24</v>
      </c>
      <c r="D35" s="25" t="s">
        <v>84</v>
      </c>
      <c r="E35" s="18" t="s">
        <v>34</v>
      </c>
      <c r="F35" s="7">
        <v>34.51</v>
      </c>
      <c r="G35" s="8">
        <v>5.91</v>
      </c>
      <c r="H35" s="8">
        <v>9.23</v>
      </c>
      <c r="I35" s="8">
        <f t="shared" si="13"/>
        <v>15.14</v>
      </c>
      <c r="J35" s="8">
        <f t="shared" si="14"/>
        <v>203.95409999999998</v>
      </c>
      <c r="K35" s="8">
        <f t="shared" si="15"/>
        <v>318.52729999999997</v>
      </c>
      <c r="L35" s="8">
        <f t="shared" si="16"/>
        <v>522.48139999999989</v>
      </c>
      <c r="M35" s="9">
        <f t="shared" si="0"/>
        <v>1.5629031756021589E-3</v>
      </c>
    </row>
    <row r="36" spans="1:13" ht="25.5" x14ac:dyDescent="0.2">
      <c r="A36" s="23" t="s">
        <v>85</v>
      </c>
      <c r="B36" s="7" t="s">
        <v>86</v>
      </c>
      <c r="C36" s="17" t="s">
        <v>24</v>
      </c>
      <c r="D36" s="25" t="s">
        <v>87</v>
      </c>
      <c r="E36" s="18" t="s">
        <v>34</v>
      </c>
      <c r="F36" s="7">
        <v>34.51</v>
      </c>
      <c r="G36" s="8">
        <v>6.3</v>
      </c>
      <c r="H36" s="8">
        <v>11.12</v>
      </c>
      <c r="I36" s="8">
        <f t="shared" si="13"/>
        <v>17.419999999999998</v>
      </c>
      <c r="J36" s="8">
        <f t="shared" si="14"/>
        <v>217.41299999999998</v>
      </c>
      <c r="K36" s="8">
        <f t="shared" si="15"/>
        <v>383.75119999999993</v>
      </c>
      <c r="L36" s="8">
        <f t="shared" si="16"/>
        <v>601.16419999999994</v>
      </c>
      <c r="M36" s="9">
        <f t="shared" si="0"/>
        <v>1.7982677225224315E-3</v>
      </c>
    </row>
    <row r="37" spans="1:13" x14ac:dyDescent="0.2">
      <c r="A37" s="22" t="s">
        <v>88</v>
      </c>
      <c r="B37" s="4"/>
      <c r="C37" s="4"/>
      <c r="D37" s="27" t="s">
        <v>89</v>
      </c>
      <c r="E37" s="4"/>
      <c r="F37" s="3"/>
      <c r="G37" s="71"/>
      <c r="H37" s="71"/>
      <c r="I37" s="71"/>
      <c r="J37" s="5">
        <f>SUM(J38:J63)</f>
        <v>5761.1459999999997</v>
      </c>
      <c r="K37" s="5">
        <f t="shared" ref="K37" si="17">SUM(K38:K63)</f>
        <v>18728.078999999998</v>
      </c>
      <c r="L37" s="5">
        <f>SUM(L38:L63)</f>
        <v>24489.224999999999</v>
      </c>
      <c r="M37" s="6">
        <f t="shared" si="0"/>
        <v>7.3254832651527477E-2</v>
      </c>
    </row>
    <row r="38" spans="1:13" ht="25.5" x14ac:dyDescent="0.2">
      <c r="A38" s="23" t="s">
        <v>90</v>
      </c>
      <c r="B38" s="7" t="s">
        <v>91</v>
      </c>
      <c r="C38" s="17" t="s">
        <v>24</v>
      </c>
      <c r="D38" s="25" t="s">
        <v>92</v>
      </c>
      <c r="E38" s="18" t="s">
        <v>93</v>
      </c>
      <c r="F38" s="7">
        <v>6</v>
      </c>
      <c r="G38" s="8">
        <v>2.1</v>
      </c>
      <c r="H38" s="8">
        <v>13.59</v>
      </c>
      <c r="I38" s="8">
        <f t="shared" ref="I38:I63" si="18">H38+G38</f>
        <v>15.69</v>
      </c>
      <c r="J38" s="8">
        <f t="shared" ref="J38:J63" si="19">G38*F38</f>
        <v>12.600000000000001</v>
      </c>
      <c r="K38" s="8">
        <f t="shared" ref="K38:K63" si="20">H38*F38</f>
        <v>81.539999999999992</v>
      </c>
      <c r="L38" s="8">
        <f t="shared" ref="L38:L63" si="21">K38+J38</f>
        <v>94.139999999999986</v>
      </c>
      <c r="M38" s="9">
        <f t="shared" si="0"/>
        <v>2.8160180429616681E-4</v>
      </c>
    </row>
    <row r="39" spans="1:13" ht="25.5" x14ac:dyDescent="0.2">
      <c r="A39" s="23" t="s">
        <v>94</v>
      </c>
      <c r="B39" s="7" t="s">
        <v>95</v>
      </c>
      <c r="C39" s="17" t="s">
        <v>24</v>
      </c>
      <c r="D39" s="25" t="s">
        <v>96</v>
      </c>
      <c r="E39" s="18" t="s">
        <v>93</v>
      </c>
      <c r="F39" s="7">
        <v>3</v>
      </c>
      <c r="G39" s="8">
        <v>2.92</v>
      </c>
      <c r="H39" s="8">
        <v>14.31</v>
      </c>
      <c r="I39" s="8">
        <f t="shared" si="18"/>
        <v>17.23</v>
      </c>
      <c r="J39" s="8">
        <f t="shared" si="19"/>
        <v>8.76</v>
      </c>
      <c r="K39" s="8">
        <f t="shared" si="20"/>
        <v>42.93</v>
      </c>
      <c r="L39" s="8">
        <f t="shared" si="21"/>
        <v>51.69</v>
      </c>
      <c r="M39" s="9">
        <f t="shared" si="0"/>
        <v>1.5462074850296223E-4</v>
      </c>
    </row>
    <row r="40" spans="1:13" ht="25.5" x14ac:dyDescent="0.2">
      <c r="A40" s="23" t="s">
        <v>97</v>
      </c>
      <c r="B40" s="7" t="s">
        <v>98</v>
      </c>
      <c r="C40" s="17" t="s">
        <v>24</v>
      </c>
      <c r="D40" s="25" t="s">
        <v>99</v>
      </c>
      <c r="E40" s="18" t="s">
        <v>93</v>
      </c>
      <c r="F40" s="7">
        <v>1</v>
      </c>
      <c r="G40" s="8">
        <v>2.92</v>
      </c>
      <c r="H40" s="8">
        <v>14.31</v>
      </c>
      <c r="I40" s="8">
        <f t="shared" si="18"/>
        <v>17.23</v>
      </c>
      <c r="J40" s="8">
        <f t="shared" si="19"/>
        <v>2.92</v>
      </c>
      <c r="K40" s="8">
        <f t="shared" si="20"/>
        <v>14.31</v>
      </c>
      <c r="L40" s="8">
        <f t="shared" si="21"/>
        <v>17.23</v>
      </c>
      <c r="M40" s="9">
        <f t="shared" si="0"/>
        <v>5.1540249500987414E-5</v>
      </c>
    </row>
    <row r="41" spans="1:13" ht="25.5" x14ac:dyDescent="0.2">
      <c r="A41" s="23" t="s">
        <v>100</v>
      </c>
      <c r="B41" s="7" t="s">
        <v>101</v>
      </c>
      <c r="C41" s="17" t="s">
        <v>24</v>
      </c>
      <c r="D41" s="25" t="s">
        <v>102</v>
      </c>
      <c r="E41" s="18" t="s">
        <v>93</v>
      </c>
      <c r="F41" s="7">
        <v>7</v>
      </c>
      <c r="G41" s="8">
        <v>4.0199999999999996</v>
      </c>
      <c r="H41" s="8">
        <v>15.03</v>
      </c>
      <c r="I41" s="8">
        <f t="shared" si="18"/>
        <v>19.049999999999997</v>
      </c>
      <c r="J41" s="8">
        <f t="shared" si="19"/>
        <v>28.139999999999997</v>
      </c>
      <c r="K41" s="8">
        <f t="shared" si="20"/>
        <v>105.21</v>
      </c>
      <c r="L41" s="8">
        <f t="shared" si="21"/>
        <v>133.35</v>
      </c>
      <c r="M41" s="9">
        <f t="shared" si="0"/>
        <v>3.9889101978854739E-4</v>
      </c>
    </row>
    <row r="42" spans="1:13" ht="25.5" x14ac:dyDescent="0.2">
      <c r="A42" s="23" t="s">
        <v>103</v>
      </c>
      <c r="B42" s="7" t="s">
        <v>104</v>
      </c>
      <c r="C42" s="17" t="s">
        <v>24</v>
      </c>
      <c r="D42" s="25" t="s">
        <v>105</v>
      </c>
      <c r="E42" s="18" t="s">
        <v>93</v>
      </c>
      <c r="F42" s="7">
        <v>1</v>
      </c>
      <c r="G42" s="8">
        <v>34.630000000000003</v>
      </c>
      <c r="H42" s="8">
        <v>163.47999999999999</v>
      </c>
      <c r="I42" s="8">
        <f t="shared" si="18"/>
        <v>198.10999999999999</v>
      </c>
      <c r="J42" s="8">
        <f t="shared" si="19"/>
        <v>34.630000000000003</v>
      </c>
      <c r="K42" s="8">
        <f t="shared" si="20"/>
        <v>163.47999999999999</v>
      </c>
      <c r="L42" s="8">
        <f t="shared" si="21"/>
        <v>198.10999999999999</v>
      </c>
      <c r="M42" s="9">
        <f t="shared" ref="M42:M73" si="22">L42/$L$213</f>
        <v>5.9260817345563647E-4</v>
      </c>
    </row>
    <row r="43" spans="1:13" x14ac:dyDescent="0.2">
      <c r="A43" s="23" t="s">
        <v>106</v>
      </c>
      <c r="B43" s="7" t="s">
        <v>107</v>
      </c>
      <c r="C43" s="17" t="s">
        <v>20</v>
      </c>
      <c r="D43" s="25" t="s">
        <v>108</v>
      </c>
      <c r="E43" s="18" t="s">
        <v>93</v>
      </c>
      <c r="F43" s="7">
        <v>1</v>
      </c>
      <c r="G43" s="8">
        <v>22.37</v>
      </c>
      <c r="H43" s="8">
        <v>335.08</v>
      </c>
      <c r="I43" s="8">
        <f t="shared" si="18"/>
        <v>357.45</v>
      </c>
      <c r="J43" s="8">
        <f t="shared" si="19"/>
        <v>22.37</v>
      </c>
      <c r="K43" s="8">
        <f t="shared" si="20"/>
        <v>335.08</v>
      </c>
      <c r="L43" s="8">
        <f t="shared" si="21"/>
        <v>357.45</v>
      </c>
      <c r="M43" s="9">
        <f t="shared" si="22"/>
        <v>1.0692433072622143E-3</v>
      </c>
    </row>
    <row r="44" spans="1:13" x14ac:dyDescent="0.2">
      <c r="A44" s="23" t="s">
        <v>109</v>
      </c>
      <c r="B44" s="7" t="s">
        <v>110</v>
      </c>
      <c r="C44" s="17" t="s">
        <v>20</v>
      </c>
      <c r="D44" s="25" t="s">
        <v>111</v>
      </c>
      <c r="E44" s="18" t="s">
        <v>93</v>
      </c>
      <c r="F44" s="7">
        <v>17</v>
      </c>
      <c r="G44" s="8">
        <v>22.37</v>
      </c>
      <c r="H44" s="8">
        <v>191.88</v>
      </c>
      <c r="I44" s="8">
        <f t="shared" si="18"/>
        <v>214.25</v>
      </c>
      <c r="J44" s="8">
        <f t="shared" si="19"/>
        <v>380.29</v>
      </c>
      <c r="K44" s="8">
        <f t="shared" si="20"/>
        <v>3261.96</v>
      </c>
      <c r="L44" s="8">
        <f t="shared" si="21"/>
        <v>3642.25</v>
      </c>
      <c r="M44" s="9">
        <f t="shared" si="22"/>
        <v>1.089509423940635E-2</v>
      </c>
    </row>
    <row r="45" spans="1:13" x14ac:dyDescent="0.2">
      <c r="A45" s="23" t="s">
        <v>112</v>
      </c>
      <c r="B45" s="7" t="s">
        <v>113</v>
      </c>
      <c r="C45" s="17" t="s">
        <v>20</v>
      </c>
      <c r="D45" s="25" t="s">
        <v>114</v>
      </c>
      <c r="E45" s="18" t="s">
        <v>93</v>
      </c>
      <c r="F45" s="7">
        <v>1</v>
      </c>
      <c r="G45" s="8">
        <v>22.37</v>
      </c>
      <c r="H45" s="8">
        <v>188.73</v>
      </c>
      <c r="I45" s="8">
        <f t="shared" si="18"/>
        <v>211.1</v>
      </c>
      <c r="J45" s="8">
        <f t="shared" si="19"/>
        <v>22.37</v>
      </c>
      <c r="K45" s="8">
        <f t="shared" si="20"/>
        <v>188.73</v>
      </c>
      <c r="L45" s="8">
        <f t="shared" si="21"/>
        <v>211.1</v>
      </c>
      <c r="M45" s="9">
        <f t="shared" si="22"/>
        <v>6.3146527392097748E-4</v>
      </c>
    </row>
    <row r="46" spans="1:13" ht="25.5" x14ac:dyDescent="0.2">
      <c r="A46" s="23" t="s">
        <v>115</v>
      </c>
      <c r="B46" s="7" t="s">
        <v>116</v>
      </c>
      <c r="C46" s="17" t="s">
        <v>24</v>
      </c>
      <c r="D46" s="25" t="s">
        <v>117</v>
      </c>
      <c r="E46" s="18" t="s">
        <v>93</v>
      </c>
      <c r="F46" s="7">
        <v>29</v>
      </c>
      <c r="G46" s="8">
        <v>19.670000000000002</v>
      </c>
      <c r="H46" s="8">
        <v>23.44</v>
      </c>
      <c r="I46" s="8">
        <f t="shared" si="18"/>
        <v>43.11</v>
      </c>
      <c r="J46" s="8">
        <f t="shared" si="19"/>
        <v>570.43000000000006</v>
      </c>
      <c r="K46" s="8">
        <f t="shared" si="20"/>
        <v>679.76</v>
      </c>
      <c r="L46" s="8">
        <f t="shared" si="21"/>
        <v>1250.19</v>
      </c>
      <c r="M46" s="9">
        <f t="shared" si="22"/>
        <v>3.7397042671874323E-3</v>
      </c>
    </row>
    <row r="47" spans="1:13" ht="25.5" x14ac:dyDescent="0.2">
      <c r="A47" s="23" t="s">
        <v>118</v>
      </c>
      <c r="B47" s="7" t="s">
        <v>119</v>
      </c>
      <c r="C47" s="17" t="s">
        <v>24</v>
      </c>
      <c r="D47" s="25" t="s">
        <v>120</v>
      </c>
      <c r="E47" s="18" t="s">
        <v>93</v>
      </c>
      <c r="F47" s="7">
        <v>13</v>
      </c>
      <c r="G47" s="8">
        <v>30.94</v>
      </c>
      <c r="H47" s="8">
        <v>38.049999999999997</v>
      </c>
      <c r="I47" s="8">
        <f t="shared" si="18"/>
        <v>68.989999999999995</v>
      </c>
      <c r="J47" s="8">
        <f t="shared" si="19"/>
        <v>402.22</v>
      </c>
      <c r="K47" s="8">
        <f t="shared" si="20"/>
        <v>494.65</v>
      </c>
      <c r="L47" s="8">
        <f t="shared" si="21"/>
        <v>896.87</v>
      </c>
      <c r="M47" s="9">
        <f t="shared" si="22"/>
        <v>2.6828150650000339E-3</v>
      </c>
    </row>
    <row r="48" spans="1:13" ht="38.25" x14ac:dyDescent="0.2">
      <c r="A48" s="23" t="s">
        <v>121</v>
      </c>
      <c r="B48" s="7" t="s">
        <v>122</v>
      </c>
      <c r="C48" s="17" t="s">
        <v>24</v>
      </c>
      <c r="D48" s="25" t="s">
        <v>123</v>
      </c>
      <c r="E48" s="18" t="s">
        <v>41</v>
      </c>
      <c r="F48" s="7">
        <v>140.5</v>
      </c>
      <c r="G48" s="8">
        <v>7.82</v>
      </c>
      <c r="H48" s="8">
        <v>10.57</v>
      </c>
      <c r="I48" s="8">
        <f t="shared" si="18"/>
        <v>18.39</v>
      </c>
      <c r="J48" s="8">
        <f t="shared" si="19"/>
        <v>1098.71</v>
      </c>
      <c r="K48" s="8">
        <f t="shared" si="20"/>
        <v>1485.085</v>
      </c>
      <c r="L48" s="8">
        <f t="shared" si="21"/>
        <v>2583.7950000000001</v>
      </c>
      <c r="M48" s="9">
        <f t="shared" si="22"/>
        <v>7.7289285524900627E-3</v>
      </c>
    </row>
    <row r="49" spans="1:13" ht="38.25" x14ac:dyDescent="0.2">
      <c r="A49" s="23" t="s">
        <v>124</v>
      </c>
      <c r="B49" s="7" t="s">
        <v>125</v>
      </c>
      <c r="C49" s="17" t="s">
        <v>24</v>
      </c>
      <c r="D49" s="25" t="s">
        <v>126</v>
      </c>
      <c r="E49" s="18" t="s">
        <v>41</v>
      </c>
      <c r="F49" s="7">
        <v>30</v>
      </c>
      <c r="G49" s="8">
        <v>8.69</v>
      </c>
      <c r="H49" s="8">
        <v>15.42</v>
      </c>
      <c r="I49" s="8">
        <f t="shared" si="18"/>
        <v>24.11</v>
      </c>
      <c r="J49" s="8">
        <f t="shared" si="19"/>
        <v>260.7</v>
      </c>
      <c r="K49" s="8">
        <f t="shared" si="20"/>
        <v>462.6</v>
      </c>
      <c r="L49" s="8">
        <f t="shared" si="21"/>
        <v>723.3</v>
      </c>
      <c r="M49" s="9">
        <f t="shared" si="22"/>
        <v>2.163613607896935E-3</v>
      </c>
    </row>
    <row r="50" spans="1:13" ht="38.25" x14ac:dyDescent="0.2">
      <c r="A50" s="23" t="s">
        <v>127</v>
      </c>
      <c r="B50" s="7" t="s">
        <v>128</v>
      </c>
      <c r="C50" s="17" t="s">
        <v>24</v>
      </c>
      <c r="D50" s="25" t="s">
        <v>129</v>
      </c>
      <c r="E50" s="18" t="s">
        <v>41</v>
      </c>
      <c r="F50" s="7">
        <v>33.5</v>
      </c>
      <c r="G50" s="8">
        <v>9.68</v>
      </c>
      <c r="H50" s="8">
        <v>19.93</v>
      </c>
      <c r="I50" s="8">
        <f t="shared" si="18"/>
        <v>29.61</v>
      </c>
      <c r="J50" s="8">
        <f t="shared" si="19"/>
        <v>324.27999999999997</v>
      </c>
      <c r="K50" s="8">
        <f t="shared" si="20"/>
        <v>667.65499999999997</v>
      </c>
      <c r="L50" s="8">
        <f t="shared" si="21"/>
        <v>991.93499999999995</v>
      </c>
      <c r="M50" s="9">
        <f t="shared" si="22"/>
        <v>2.967183829875911E-3</v>
      </c>
    </row>
    <row r="51" spans="1:13" ht="30" customHeight="1" x14ac:dyDescent="0.2">
      <c r="A51" s="23" t="s">
        <v>130</v>
      </c>
      <c r="B51" s="7" t="s">
        <v>131</v>
      </c>
      <c r="C51" s="17" t="s">
        <v>24</v>
      </c>
      <c r="D51" s="25" t="s">
        <v>132</v>
      </c>
      <c r="E51" s="18" t="s">
        <v>41</v>
      </c>
      <c r="F51" s="7">
        <v>427.5</v>
      </c>
      <c r="G51" s="8">
        <v>1.26</v>
      </c>
      <c r="H51" s="8">
        <v>3.57</v>
      </c>
      <c r="I51" s="8">
        <f t="shared" si="18"/>
        <v>4.83</v>
      </c>
      <c r="J51" s="8">
        <f t="shared" si="19"/>
        <v>538.65</v>
      </c>
      <c r="K51" s="8">
        <f t="shared" si="20"/>
        <v>1526.175</v>
      </c>
      <c r="L51" s="8">
        <f t="shared" si="21"/>
        <v>2064.8249999999998</v>
      </c>
      <c r="M51" s="9">
        <f t="shared" si="22"/>
        <v>6.176529058379357E-3</v>
      </c>
    </row>
    <row r="52" spans="1:13" ht="30" customHeight="1" x14ac:dyDescent="0.2">
      <c r="A52" s="23" t="s">
        <v>133</v>
      </c>
      <c r="B52" s="7" t="s">
        <v>134</v>
      </c>
      <c r="C52" s="17" t="s">
        <v>24</v>
      </c>
      <c r="D52" s="25" t="s">
        <v>135</v>
      </c>
      <c r="E52" s="18" t="s">
        <v>41</v>
      </c>
      <c r="F52" s="7">
        <v>75.599999999999994</v>
      </c>
      <c r="G52" s="8">
        <v>1.71</v>
      </c>
      <c r="H52" s="8">
        <v>5.79</v>
      </c>
      <c r="I52" s="8">
        <f t="shared" si="18"/>
        <v>7.5</v>
      </c>
      <c r="J52" s="8">
        <f t="shared" si="19"/>
        <v>129.27599999999998</v>
      </c>
      <c r="K52" s="8">
        <f t="shared" si="20"/>
        <v>437.72399999999999</v>
      </c>
      <c r="L52" s="8">
        <f t="shared" si="21"/>
        <v>567</v>
      </c>
      <c r="M52" s="9">
        <f t="shared" si="22"/>
        <v>1.6960720526442172E-3</v>
      </c>
    </row>
    <row r="53" spans="1:13" ht="30" customHeight="1" x14ac:dyDescent="0.2">
      <c r="A53" s="23" t="s">
        <v>136</v>
      </c>
      <c r="B53" s="7" t="s">
        <v>137</v>
      </c>
      <c r="C53" s="17" t="s">
        <v>24</v>
      </c>
      <c r="D53" s="25" t="s">
        <v>138</v>
      </c>
      <c r="E53" s="18" t="s">
        <v>41</v>
      </c>
      <c r="F53" s="7">
        <v>341.5</v>
      </c>
      <c r="G53" s="8">
        <v>2.2400000000000002</v>
      </c>
      <c r="H53" s="8">
        <v>8.24</v>
      </c>
      <c r="I53" s="8">
        <f t="shared" si="18"/>
        <v>10.48</v>
      </c>
      <c r="J53" s="8">
        <f t="shared" si="19"/>
        <v>764.96</v>
      </c>
      <c r="K53" s="8">
        <f t="shared" si="20"/>
        <v>2813.96</v>
      </c>
      <c r="L53" s="8">
        <f t="shared" si="21"/>
        <v>3578.92</v>
      </c>
      <c r="M53" s="9">
        <f t="shared" si="22"/>
        <v>1.0705654657230057E-2</v>
      </c>
    </row>
    <row r="54" spans="1:13" ht="25.5" x14ac:dyDescent="0.2">
      <c r="A54" s="23" t="s">
        <v>139</v>
      </c>
      <c r="B54" s="7" t="s">
        <v>140</v>
      </c>
      <c r="C54" s="17" t="s">
        <v>24</v>
      </c>
      <c r="D54" s="25" t="s">
        <v>141</v>
      </c>
      <c r="E54" s="18" t="s">
        <v>41</v>
      </c>
      <c r="F54" s="7">
        <v>115</v>
      </c>
      <c r="G54" s="8">
        <v>0.56000000000000005</v>
      </c>
      <c r="H54" s="8">
        <v>18.22</v>
      </c>
      <c r="I54" s="8">
        <f t="shared" si="18"/>
        <v>18.779999999999998</v>
      </c>
      <c r="J54" s="8">
        <f t="shared" si="19"/>
        <v>64.400000000000006</v>
      </c>
      <c r="K54" s="8">
        <f t="shared" si="20"/>
        <v>2095.2999999999997</v>
      </c>
      <c r="L54" s="8">
        <f t="shared" si="21"/>
        <v>2159.6999999999998</v>
      </c>
      <c r="M54" s="9">
        <f t="shared" si="22"/>
        <v>6.4603294745956188E-3</v>
      </c>
    </row>
    <row r="55" spans="1:13" ht="25.5" x14ac:dyDescent="0.2">
      <c r="A55" s="23" t="s">
        <v>142</v>
      </c>
      <c r="B55" s="7" t="s">
        <v>143</v>
      </c>
      <c r="C55" s="17" t="s">
        <v>24</v>
      </c>
      <c r="D55" s="25" t="s">
        <v>144</v>
      </c>
      <c r="E55" s="18" t="s">
        <v>93</v>
      </c>
      <c r="F55" s="7">
        <v>2</v>
      </c>
      <c r="G55" s="8">
        <v>11.18</v>
      </c>
      <c r="H55" s="8">
        <v>147.15</v>
      </c>
      <c r="I55" s="8">
        <f t="shared" si="18"/>
        <v>158.33000000000001</v>
      </c>
      <c r="J55" s="8">
        <f t="shared" si="19"/>
        <v>22.36</v>
      </c>
      <c r="K55" s="8">
        <f t="shared" si="20"/>
        <v>294.3</v>
      </c>
      <c r="L55" s="8">
        <f t="shared" si="21"/>
        <v>316.66000000000003</v>
      </c>
      <c r="M55" s="9">
        <f t="shared" si="22"/>
        <v>9.4722782396881454E-4</v>
      </c>
    </row>
    <row r="56" spans="1:13" x14ac:dyDescent="0.2">
      <c r="A56" s="23" t="s">
        <v>145</v>
      </c>
      <c r="B56" s="7" t="s">
        <v>146</v>
      </c>
      <c r="C56" s="17" t="s">
        <v>24</v>
      </c>
      <c r="D56" s="25" t="s">
        <v>147</v>
      </c>
      <c r="E56" s="18" t="s">
        <v>41</v>
      </c>
      <c r="F56" s="7">
        <v>4</v>
      </c>
      <c r="G56" s="8">
        <v>4.41</v>
      </c>
      <c r="H56" s="8">
        <v>13.56</v>
      </c>
      <c r="I56" s="8">
        <f t="shared" si="18"/>
        <v>17.97</v>
      </c>
      <c r="J56" s="8">
        <f t="shared" si="19"/>
        <v>17.64</v>
      </c>
      <c r="K56" s="8">
        <f t="shared" si="20"/>
        <v>54.24</v>
      </c>
      <c r="L56" s="8">
        <f t="shared" si="21"/>
        <v>71.88</v>
      </c>
      <c r="M56" s="9">
        <f t="shared" si="22"/>
        <v>2.1501527185902351E-4</v>
      </c>
    </row>
    <row r="57" spans="1:13" ht="25.5" x14ac:dyDescent="0.2">
      <c r="A57" s="23" t="s">
        <v>148</v>
      </c>
      <c r="B57" s="7" t="s">
        <v>149</v>
      </c>
      <c r="C57" s="17" t="s">
        <v>24</v>
      </c>
      <c r="D57" s="25" t="s">
        <v>150</v>
      </c>
      <c r="E57" s="18" t="s">
        <v>93</v>
      </c>
      <c r="F57" s="7">
        <v>1</v>
      </c>
      <c r="G57" s="8">
        <v>6.35</v>
      </c>
      <c r="H57" s="8">
        <v>62.86</v>
      </c>
      <c r="I57" s="8">
        <f t="shared" si="18"/>
        <v>69.209999999999994</v>
      </c>
      <c r="J57" s="8">
        <f t="shared" si="19"/>
        <v>6.35</v>
      </c>
      <c r="K57" s="8">
        <f t="shared" si="20"/>
        <v>62.86</v>
      </c>
      <c r="L57" s="8">
        <f t="shared" si="21"/>
        <v>69.209999999999994</v>
      </c>
      <c r="M57" s="9">
        <f t="shared" si="22"/>
        <v>2.070284775370481E-4</v>
      </c>
    </row>
    <row r="58" spans="1:13" x14ac:dyDescent="0.2">
      <c r="A58" s="23" t="s">
        <v>151</v>
      </c>
      <c r="B58" s="7" t="s">
        <v>152</v>
      </c>
      <c r="C58" s="17" t="s">
        <v>20</v>
      </c>
      <c r="D58" s="25" t="s">
        <v>153</v>
      </c>
      <c r="E58" s="18" t="s">
        <v>93</v>
      </c>
      <c r="F58" s="7">
        <v>12</v>
      </c>
      <c r="G58" s="8">
        <v>13.83</v>
      </c>
      <c r="H58" s="8">
        <v>8.2100000000000009</v>
      </c>
      <c r="I58" s="8">
        <f t="shared" si="18"/>
        <v>22.04</v>
      </c>
      <c r="J58" s="8">
        <f t="shared" si="19"/>
        <v>165.96</v>
      </c>
      <c r="K58" s="8">
        <f t="shared" si="20"/>
        <v>98.52000000000001</v>
      </c>
      <c r="L58" s="8">
        <f t="shared" si="21"/>
        <v>264.48</v>
      </c>
      <c r="M58" s="9">
        <f t="shared" si="22"/>
        <v>7.9114133418578937E-4</v>
      </c>
    </row>
    <row r="59" spans="1:13" x14ac:dyDescent="0.2">
      <c r="A59" s="23" t="s">
        <v>154</v>
      </c>
      <c r="B59" s="7" t="s">
        <v>155</v>
      </c>
      <c r="C59" s="17" t="s">
        <v>20</v>
      </c>
      <c r="D59" s="25" t="s">
        <v>156</v>
      </c>
      <c r="E59" s="18" t="s">
        <v>93</v>
      </c>
      <c r="F59" s="7">
        <v>35</v>
      </c>
      <c r="G59" s="8">
        <v>14.45</v>
      </c>
      <c r="H59" s="8">
        <v>6.69</v>
      </c>
      <c r="I59" s="8">
        <f t="shared" si="18"/>
        <v>21.14</v>
      </c>
      <c r="J59" s="8">
        <f t="shared" si="19"/>
        <v>505.75</v>
      </c>
      <c r="K59" s="8">
        <f t="shared" si="20"/>
        <v>234.15</v>
      </c>
      <c r="L59" s="8">
        <f t="shared" si="21"/>
        <v>739.9</v>
      </c>
      <c r="M59" s="9">
        <f t="shared" si="22"/>
        <v>2.2132693328949845E-3</v>
      </c>
    </row>
    <row r="60" spans="1:13" ht="38.25" x14ac:dyDescent="0.2">
      <c r="A60" s="23" t="s">
        <v>157</v>
      </c>
      <c r="B60" s="7" t="s">
        <v>158</v>
      </c>
      <c r="C60" s="17" t="s">
        <v>24</v>
      </c>
      <c r="D60" s="25" t="s">
        <v>159</v>
      </c>
      <c r="E60" s="18" t="s">
        <v>93</v>
      </c>
      <c r="F60" s="7">
        <v>1</v>
      </c>
      <c r="G60" s="8">
        <v>31.91</v>
      </c>
      <c r="H60" s="8">
        <v>1231.43</v>
      </c>
      <c r="I60" s="8">
        <f t="shared" si="18"/>
        <v>1263.3400000000001</v>
      </c>
      <c r="J60" s="8">
        <f t="shared" si="19"/>
        <v>31.91</v>
      </c>
      <c r="K60" s="8">
        <f t="shared" si="20"/>
        <v>1231.43</v>
      </c>
      <c r="L60" s="8">
        <f t="shared" si="21"/>
        <v>1263.3400000000001</v>
      </c>
      <c r="M60" s="9">
        <f t="shared" si="22"/>
        <v>3.7790399770503452E-3</v>
      </c>
    </row>
    <row r="61" spans="1:13" ht="25.5" customHeight="1" x14ac:dyDescent="0.2">
      <c r="A61" s="23" t="s">
        <v>160</v>
      </c>
      <c r="B61" s="7" t="s">
        <v>161</v>
      </c>
      <c r="C61" s="17" t="s">
        <v>162</v>
      </c>
      <c r="D61" s="25" t="s">
        <v>163</v>
      </c>
      <c r="E61" s="18" t="s">
        <v>164</v>
      </c>
      <c r="F61" s="7">
        <v>5</v>
      </c>
      <c r="G61" s="8">
        <v>17.03</v>
      </c>
      <c r="H61" s="8">
        <v>25.19</v>
      </c>
      <c r="I61" s="8">
        <f t="shared" si="18"/>
        <v>42.22</v>
      </c>
      <c r="J61" s="8">
        <f t="shared" si="19"/>
        <v>85.15</v>
      </c>
      <c r="K61" s="8">
        <f t="shared" si="20"/>
        <v>125.95</v>
      </c>
      <c r="L61" s="8">
        <f t="shared" si="21"/>
        <v>211.10000000000002</v>
      </c>
      <c r="M61" s="9">
        <f t="shared" si="22"/>
        <v>6.3146527392097759E-4</v>
      </c>
    </row>
    <row r="62" spans="1:13" ht="25.5" x14ac:dyDescent="0.2">
      <c r="A62" s="23" t="s">
        <v>165</v>
      </c>
      <c r="B62" s="7" t="s">
        <v>166</v>
      </c>
      <c r="C62" s="17" t="s">
        <v>24</v>
      </c>
      <c r="D62" s="25" t="s">
        <v>167</v>
      </c>
      <c r="E62" s="18" t="s">
        <v>93</v>
      </c>
      <c r="F62" s="7">
        <v>8</v>
      </c>
      <c r="G62" s="8">
        <v>5.79</v>
      </c>
      <c r="H62" s="8">
        <v>26.91</v>
      </c>
      <c r="I62" s="8">
        <f t="shared" si="18"/>
        <v>32.700000000000003</v>
      </c>
      <c r="J62" s="8">
        <f t="shared" si="19"/>
        <v>46.32</v>
      </c>
      <c r="K62" s="8">
        <f t="shared" si="20"/>
        <v>215.28</v>
      </c>
      <c r="L62" s="8">
        <f t="shared" si="21"/>
        <v>261.60000000000002</v>
      </c>
      <c r="M62" s="9">
        <f t="shared" si="22"/>
        <v>7.8252636502950139E-4</v>
      </c>
    </row>
    <row r="63" spans="1:13" ht="25.5" x14ac:dyDescent="0.2">
      <c r="A63" s="23" t="s">
        <v>168</v>
      </c>
      <c r="B63" s="7" t="s">
        <v>169</v>
      </c>
      <c r="C63" s="17" t="s">
        <v>24</v>
      </c>
      <c r="D63" s="25" t="s">
        <v>512</v>
      </c>
      <c r="E63" s="18" t="s">
        <v>93</v>
      </c>
      <c r="F63" s="7">
        <v>40</v>
      </c>
      <c r="G63" s="8">
        <v>5.35</v>
      </c>
      <c r="H63" s="8">
        <v>38.880000000000003</v>
      </c>
      <c r="I63" s="8">
        <f t="shared" si="18"/>
        <v>44.230000000000004</v>
      </c>
      <c r="J63" s="8">
        <f t="shared" si="19"/>
        <v>214</v>
      </c>
      <c r="K63" s="8">
        <f t="shared" si="20"/>
        <v>1555.2</v>
      </c>
      <c r="L63" s="8">
        <f t="shared" si="21"/>
        <v>1769.2</v>
      </c>
      <c r="M63" s="9">
        <f t="shared" si="22"/>
        <v>5.2922234136475298E-3</v>
      </c>
    </row>
    <row r="64" spans="1:13" x14ac:dyDescent="0.2">
      <c r="A64" s="22" t="s">
        <v>170</v>
      </c>
      <c r="B64" s="4"/>
      <c r="C64" s="4"/>
      <c r="D64" s="27" t="s">
        <v>171</v>
      </c>
      <c r="E64" s="4"/>
      <c r="F64" s="3"/>
      <c r="G64" s="71"/>
      <c r="H64" s="71"/>
      <c r="I64" s="71"/>
      <c r="J64" s="5">
        <f>SUM(J65:J75)</f>
        <v>5315.2964000000011</v>
      </c>
      <c r="K64" s="5">
        <f t="shared" ref="K64" si="23">SUM(K65:K75)</f>
        <v>15954.952500000003</v>
      </c>
      <c r="L64" s="5">
        <f>SUM(L65:L75)</f>
        <v>21270.248900000002</v>
      </c>
      <c r="M64" s="6">
        <f t="shared" si="22"/>
        <v>6.3625881326413419E-2</v>
      </c>
    </row>
    <row r="65" spans="1:13" ht="38.25" x14ac:dyDescent="0.2">
      <c r="A65" s="23" t="s">
        <v>172</v>
      </c>
      <c r="B65" s="7" t="s">
        <v>173</v>
      </c>
      <c r="C65" s="17" t="s">
        <v>24</v>
      </c>
      <c r="D65" s="25" t="s">
        <v>507</v>
      </c>
      <c r="E65" s="18" t="s">
        <v>41</v>
      </c>
      <c r="F65" s="7">
        <v>40</v>
      </c>
      <c r="G65" s="8">
        <v>21.51</v>
      </c>
      <c r="H65" s="8">
        <f>58.37+10</f>
        <v>68.37</v>
      </c>
      <c r="I65" s="8">
        <f t="shared" ref="I65:I75" si="24">H65+G65</f>
        <v>89.88000000000001</v>
      </c>
      <c r="J65" s="8">
        <f t="shared" ref="J65:J75" si="25">G65*F65</f>
        <v>860.40000000000009</v>
      </c>
      <c r="K65" s="8">
        <f t="shared" ref="K65:K75" si="26">H65*F65</f>
        <v>2734.8</v>
      </c>
      <c r="L65" s="8">
        <f t="shared" ref="L65:L75" si="27">K65+J65</f>
        <v>3595.2000000000003</v>
      </c>
      <c r="M65" s="9">
        <f t="shared" si="22"/>
        <v>1.0754353163432963E-2</v>
      </c>
    </row>
    <row r="66" spans="1:13" ht="25.5" x14ac:dyDescent="0.2">
      <c r="A66" s="23" t="s">
        <v>174</v>
      </c>
      <c r="B66" s="7" t="s">
        <v>175</v>
      </c>
      <c r="C66" s="17" t="s">
        <v>20</v>
      </c>
      <c r="D66" s="25" t="s">
        <v>176</v>
      </c>
      <c r="E66" s="18" t="s">
        <v>34</v>
      </c>
      <c r="F66" s="7">
        <v>4</v>
      </c>
      <c r="G66" s="8">
        <v>85.6</v>
      </c>
      <c r="H66" s="8">
        <f>770.76-280</f>
        <v>490.76</v>
      </c>
      <c r="I66" s="8">
        <f t="shared" si="24"/>
        <v>576.36</v>
      </c>
      <c r="J66" s="8">
        <f t="shared" si="25"/>
        <v>342.4</v>
      </c>
      <c r="K66" s="8">
        <f t="shared" si="26"/>
        <v>1963.04</v>
      </c>
      <c r="L66" s="8">
        <f t="shared" si="27"/>
        <v>2305.44</v>
      </c>
      <c r="M66" s="9">
        <f t="shared" si="22"/>
        <v>6.8962828096086146E-3</v>
      </c>
    </row>
    <row r="67" spans="1:13" ht="25.5" x14ac:dyDescent="0.2">
      <c r="A67" s="23" t="s">
        <v>174</v>
      </c>
      <c r="B67" s="7" t="s">
        <v>177</v>
      </c>
      <c r="C67" s="17" t="s">
        <v>24</v>
      </c>
      <c r="D67" s="25" t="s">
        <v>178</v>
      </c>
      <c r="E67" s="18" t="s">
        <v>22</v>
      </c>
      <c r="F67" s="7">
        <v>1</v>
      </c>
      <c r="G67" s="8">
        <v>1.59</v>
      </c>
      <c r="H67" s="8">
        <v>3.79</v>
      </c>
      <c r="I67" s="8">
        <f t="shared" si="24"/>
        <v>5.38</v>
      </c>
      <c r="J67" s="8">
        <f t="shared" si="25"/>
        <v>1.59</v>
      </c>
      <c r="K67" s="8">
        <f t="shared" si="26"/>
        <v>3.79</v>
      </c>
      <c r="L67" s="8">
        <f t="shared" si="27"/>
        <v>5.38</v>
      </c>
      <c r="M67" s="9">
        <f t="shared" si="22"/>
        <v>1.6093240993343719E-5</v>
      </c>
    </row>
    <row r="68" spans="1:13" ht="38.25" x14ac:dyDescent="0.2">
      <c r="A68" s="23" t="s">
        <v>179</v>
      </c>
      <c r="B68" s="7" t="s">
        <v>180</v>
      </c>
      <c r="C68" s="17" t="s">
        <v>24</v>
      </c>
      <c r="D68" s="25" t="s">
        <v>181</v>
      </c>
      <c r="E68" s="18" t="s">
        <v>22</v>
      </c>
      <c r="F68" s="7">
        <v>1.6</v>
      </c>
      <c r="G68" s="8">
        <v>84.38</v>
      </c>
      <c r="H68" s="8">
        <v>634.29</v>
      </c>
      <c r="I68" s="8">
        <f t="shared" si="24"/>
        <v>718.67</v>
      </c>
      <c r="J68" s="8">
        <f t="shared" si="25"/>
        <v>135.00800000000001</v>
      </c>
      <c r="K68" s="8">
        <f t="shared" si="26"/>
        <v>1014.864</v>
      </c>
      <c r="L68" s="8">
        <f t="shared" si="27"/>
        <v>1149.8720000000001</v>
      </c>
      <c r="M68" s="9">
        <f t="shared" si="22"/>
        <v>3.4396221575275334E-3</v>
      </c>
    </row>
    <row r="69" spans="1:13" ht="38.25" x14ac:dyDescent="0.2">
      <c r="A69" s="23" t="s">
        <v>182</v>
      </c>
      <c r="B69" s="7" t="s">
        <v>46</v>
      </c>
      <c r="C69" s="17" t="s">
        <v>24</v>
      </c>
      <c r="D69" s="25" t="s">
        <v>47</v>
      </c>
      <c r="E69" s="18" t="s">
        <v>34</v>
      </c>
      <c r="F69" s="7">
        <v>46.96</v>
      </c>
      <c r="G69" s="8">
        <v>32.69</v>
      </c>
      <c r="H69" s="8">
        <v>84.5</v>
      </c>
      <c r="I69" s="8">
        <f t="shared" si="24"/>
        <v>117.19</v>
      </c>
      <c r="J69" s="8">
        <f t="shared" si="25"/>
        <v>1535.1224</v>
      </c>
      <c r="K69" s="8">
        <f t="shared" si="26"/>
        <v>3968.12</v>
      </c>
      <c r="L69" s="8">
        <f t="shared" si="27"/>
        <v>5503.2424000000001</v>
      </c>
      <c r="M69" s="9">
        <f t="shared" si="22"/>
        <v>1.6461897060964178E-2</v>
      </c>
    </row>
    <row r="70" spans="1:13" ht="38.25" x14ac:dyDescent="0.2">
      <c r="A70" s="23" t="s">
        <v>183</v>
      </c>
      <c r="B70" s="7" t="s">
        <v>184</v>
      </c>
      <c r="C70" s="17" t="s">
        <v>24</v>
      </c>
      <c r="D70" s="25" t="s">
        <v>185</v>
      </c>
      <c r="E70" s="18" t="s">
        <v>186</v>
      </c>
      <c r="F70" s="7">
        <v>62.5</v>
      </c>
      <c r="G70" s="8">
        <v>1.1499999999999999</v>
      </c>
      <c r="H70" s="8">
        <v>13.67</v>
      </c>
      <c r="I70" s="8">
        <f t="shared" si="24"/>
        <v>14.82</v>
      </c>
      <c r="J70" s="8">
        <f t="shared" si="25"/>
        <v>71.875</v>
      </c>
      <c r="K70" s="8">
        <f t="shared" si="26"/>
        <v>854.375</v>
      </c>
      <c r="L70" s="8">
        <f t="shared" si="27"/>
        <v>926.25</v>
      </c>
      <c r="M70" s="9">
        <f t="shared" si="22"/>
        <v>2.7706997156291117E-3</v>
      </c>
    </row>
    <row r="71" spans="1:13" ht="38.25" x14ac:dyDescent="0.2">
      <c r="A71" s="23" t="s">
        <v>187</v>
      </c>
      <c r="B71" s="7" t="s">
        <v>188</v>
      </c>
      <c r="C71" s="17" t="s">
        <v>24</v>
      </c>
      <c r="D71" s="25" t="s">
        <v>189</v>
      </c>
      <c r="E71" s="18" t="s">
        <v>186</v>
      </c>
      <c r="F71" s="7">
        <v>18.5</v>
      </c>
      <c r="G71" s="8">
        <v>4.04</v>
      </c>
      <c r="H71" s="8">
        <v>13.64</v>
      </c>
      <c r="I71" s="8">
        <f t="shared" si="24"/>
        <v>17.68</v>
      </c>
      <c r="J71" s="8">
        <f t="shared" si="25"/>
        <v>74.739999999999995</v>
      </c>
      <c r="K71" s="8">
        <f t="shared" si="26"/>
        <v>252.34</v>
      </c>
      <c r="L71" s="8">
        <f t="shared" si="27"/>
        <v>327.08</v>
      </c>
      <c r="M71" s="9">
        <f t="shared" si="22"/>
        <v>9.7839726098566233E-4</v>
      </c>
    </row>
    <row r="72" spans="1:13" ht="25.5" x14ac:dyDescent="0.2">
      <c r="A72" s="23" t="s">
        <v>190</v>
      </c>
      <c r="B72" s="7" t="s">
        <v>191</v>
      </c>
      <c r="C72" s="17" t="s">
        <v>24</v>
      </c>
      <c r="D72" s="25" t="s">
        <v>192</v>
      </c>
      <c r="E72" s="18" t="s">
        <v>34</v>
      </c>
      <c r="F72" s="7">
        <v>1.85</v>
      </c>
      <c r="G72" s="8">
        <v>28.42</v>
      </c>
      <c r="H72" s="8">
        <v>115.67</v>
      </c>
      <c r="I72" s="8">
        <f t="shared" si="24"/>
        <v>144.09</v>
      </c>
      <c r="J72" s="8">
        <f t="shared" si="25"/>
        <v>52.577000000000005</v>
      </c>
      <c r="K72" s="8">
        <f t="shared" si="26"/>
        <v>213.98950000000002</v>
      </c>
      <c r="L72" s="8">
        <f t="shared" si="27"/>
        <v>266.56650000000002</v>
      </c>
      <c r="M72" s="9">
        <f t="shared" si="22"/>
        <v>7.973826998609961E-4</v>
      </c>
    </row>
    <row r="73" spans="1:13" x14ac:dyDescent="0.2">
      <c r="A73" s="23" t="s">
        <v>193</v>
      </c>
      <c r="B73" s="7" t="s">
        <v>194</v>
      </c>
      <c r="C73" s="17" t="s">
        <v>20</v>
      </c>
      <c r="D73" s="25" t="s">
        <v>195</v>
      </c>
      <c r="E73" s="18" t="s">
        <v>34</v>
      </c>
      <c r="F73" s="7">
        <v>15.3</v>
      </c>
      <c r="G73" s="8">
        <v>95.93</v>
      </c>
      <c r="H73" s="8">
        <v>223.53</v>
      </c>
      <c r="I73" s="8">
        <f t="shared" si="24"/>
        <v>319.46000000000004</v>
      </c>
      <c r="J73" s="8">
        <f t="shared" si="25"/>
        <v>1467.7290000000003</v>
      </c>
      <c r="K73" s="8">
        <f t="shared" si="26"/>
        <v>3420.009</v>
      </c>
      <c r="L73" s="8">
        <f t="shared" si="27"/>
        <v>4887.7380000000003</v>
      </c>
      <c r="M73" s="9">
        <f t="shared" si="22"/>
        <v>1.4620733372922648E-2</v>
      </c>
    </row>
    <row r="74" spans="1:13" ht="25.5" x14ac:dyDescent="0.2">
      <c r="A74" s="23" t="s">
        <v>196</v>
      </c>
      <c r="B74" s="7" t="s">
        <v>58</v>
      </c>
      <c r="C74" s="17" t="s">
        <v>24</v>
      </c>
      <c r="D74" s="25" t="s">
        <v>59</v>
      </c>
      <c r="E74" s="18" t="s">
        <v>41</v>
      </c>
      <c r="F74" s="7">
        <v>14.5</v>
      </c>
      <c r="G74" s="8">
        <v>17.96</v>
      </c>
      <c r="H74" s="8">
        <v>10.56</v>
      </c>
      <c r="I74" s="8">
        <f t="shared" si="24"/>
        <v>28.520000000000003</v>
      </c>
      <c r="J74" s="8">
        <f t="shared" si="25"/>
        <v>260.42</v>
      </c>
      <c r="K74" s="8">
        <f t="shared" si="26"/>
        <v>153.12</v>
      </c>
      <c r="L74" s="8">
        <f t="shared" si="27"/>
        <v>413.54</v>
      </c>
      <c r="M74" s="9">
        <f t="shared" ref="M74:M105" si="28">L74/$L$213</f>
        <v>1.2370258141983944E-3</v>
      </c>
    </row>
    <row r="75" spans="1:13" ht="25.5" x14ac:dyDescent="0.2">
      <c r="A75" s="23" t="s">
        <v>197</v>
      </c>
      <c r="B75" s="7" t="s">
        <v>198</v>
      </c>
      <c r="C75" s="17" t="s">
        <v>24</v>
      </c>
      <c r="D75" s="25" t="s">
        <v>199</v>
      </c>
      <c r="E75" s="18" t="s">
        <v>22</v>
      </c>
      <c r="F75" s="7">
        <v>19.5</v>
      </c>
      <c r="G75" s="8">
        <v>26.33</v>
      </c>
      <c r="H75" s="8">
        <v>70.59</v>
      </c>
      <c r="I75" s="8">
        <f t="shared" si="24"/>
        <v>96.92</v>
      </c>
      <c r="J75" s="8">
        <f t="shared" si="25"/>
        <v>513.43499999999995</v>
      </c>
      <c r="K75" s="8">
        <f t="shared" si="26"/>
        <v>1376.5050000000001</v>
      </c>
      <c r="L75" s="8">
        <f t="shared" si="27"/>
        <v>1889.94</v>
      </c>
      <c r="M75" s="9">
        <f t="shared" si="28"/>
        <v>5.6533940302899684E-3</v>
      </c>
    </row>
    <row r="76" spans="1:13" x14ac:dyDescent="0.2">
      <c r="A76" s="22" t="s">
        <v>200</v>
      </c>
      <c r="B76" s="4"/>
      <c r="C76" s="4"/>
      <c r="D76" s="27" t="s">
        <v>201</v>
      </c>
      <c r="E76" s="4"/>
      <c r="F76" s="3"/>
      <c r="G76" s="71"/>
      <c r="H76" s="71"/>
      <c r="I76" s="71"/>
      <c r="J76" s="5">
        <f>SUM(J77:J80)</f>
        <v>138.02999999999997</v>
      </c>
      <c r="K76" s="5">
        <f t="shared" ref="K76" si="29">SUM(K77:K80)</f>
        <v>1547.47</v>
      </c>
      <c r="L76" s="5">
        <f>SUM(L77:L80)</f>
        <v>1685.5</v>
      </c>
      <c r="M76" s="6">
        <f t="shared" si="28"/>
        <v>5.0418508725429065E-3</v>
      </c>
    </row>
    <row r="77" spans="1:13" x14ac:dyDescent="0.2">
      <c r="A77" s="23" t="s">
        <v>202</v>
      </c>
      <c r="B77" s="7" t="s">
        <v>203</v>
      </c>
      <c r="C77" s="17" t="s">
        <v>20</v>
      </c>
      <c r="D77" s="25" t="s">
        <v>204</v>
      </c>
      <c r="E77" s="18" t="s">
        <v>93</v>
      </c>
      <c r="F77" s="7">
        <v>4</v>
      </c>
      <c r="G77" s="8">
        <v>1.26</v>
      </c>
      <c r="H77" s="8">
        <v>291.42</v>
      </c>
      <c r="I77" s="8">
        <f t="shared" ref="I77:I80" si="30">H77+G77</f>
        <v>292.68</v>
      </c>
      <c r="J77" s="8">
        <f>G77*F77</f>
        <v>5.04</v>
      </c>
      <c r="K77" s="8">
        <f t="shared" ref="K77:K80" si="31">H77*F77</f>
        <v>1165.68</v>
      </c>
      <c r="L77" s="8">
        <f t="shared" ref="L77:L80" si="32">K77+J77</f>
        <v>1170.72</v>
      </c>
      <c r="M77" s="9">
        <f t="shared" si="28"/>
        <v>3.5019849620311076E-3</v>
      </c>
    </row>
    <row r="78" spans="1:13" x14ac:dyDescent="0.2">
      <c r="A78" s="23" t="s">
        <v>205</v>
      </c>
      <c r="B78" s="7" t="s">
        <v>206</v>
      </c>
      <c r="C78" s="17" t="s">
        <v>20</v>
      </c>
      <c r="D78" s="25" t="s">
        <v>207</v>
      </c>
      <c r="E78" s="18" t="s">
        <v>93</v>
      </c>
      <c r="F78" s="7">
        <v>4</v>
      </c>
      <c r="G78" s="8">
        <v>5.58</v>
      </c>
      <c r="H78" s="8">
        <v>2.86</v>
      </c>
      <c r="I78" s="8">
        <f t="shared" si="30"/>
        <v>8.44</v>
      </c>
      <c r="J78" s="8">
        <f t="shared" ref="J78:J80" si="33">G78*F78</f>
        <v>22.32</v>
      </c>
      <c r="K78" s="8">
        <f t="shared" si="31"/>
        <v>11.44</v>
      </c>
      <c r="L78" s="8">
        <f t="shared" si="32"/>
        <v>33.76</v>
      </c>
      <c r="M78" s="9">
        <f t="shared" si="28"/>
        <v>1.0098658288759924E-4</v>
      </c>
    </row>
    <row r="79" spans="1:13" x14ac:dyDescent="0.2">
      <c r="A79" s="23" t="s">
        <v>208</v>
      </c>
      <c r="B79" s="7" t="s">
        <v>209</v>
      </c>
      <c r="C79" s="17" t="s">
        <v>20</v>
      </c>
      <c r="D79" s="25" t="s">
        <v>210</v>
      </c>
      <c r="E79" s="18" t="s">
        <v>93</v>
      </c>
      <c r="F79" s="7">
        <v>8</v>
      </c>
      <c r="G79" s="8">
        <v>5.27</v>
      </c>
      <c r="H79" s="8">
        <v>19.79</v>
      </c>
      <c r="I79" s="8">
        <f t="shared" si="30"/>
        <v>25.06</v>
      </c>
      <c r="J79" s="8">
        <f t="shared" si="33"/>
        <v>42.16</v>
      </c>
      <c r="K79" s="8">
        <f t="shared" si="31"/>
        <v>158.32</v>
      </c>
      <c r="L79" s="8">
        <f t="shared" si="32"/>
        <v>200.48</v>
      </c>
      <c r="M79" s="9">
        <f t="shared" si="28"/>
        <v>5.9969757515716522E-4</v>
      </c>
    </row>
    <row r="80" spans="1:13" x14ac:dyDescent="0.2">
      <c r="A80" s="23" t="s">
        <v>211</v>
      </c>
      <c r="B80" s="7" t="s">
        <v>212</v>
      </c>
      <c r="C80" s="17" t="s">
        <v>20</v>
      </c>
      <c r="D80" s="25" t="s">
        <v>213</v>
      </c>
      <c r="E80" s="18" t="s">
        <v>93</v>
      </c>
      <c r="F80" s="7">
        <v>13</v>
      </c>
      <c r="G80" s="8">
        <v>5.27</v>
      </c>
      <c r="H80" s="8">
        <v>16.309999999999999</v>
      </c>
      <c r="I80" s="8">
        <f t="shared" si="30"/>
        <v>21.58</v>
      </c>
      <c r="J80" s="8">
        <f t="shared" si="33"/>
        <v>68.509999999999991</v>
      </c>
      <c r="K80" s="8">
        <f t="shared" si="31"/>
        <v>212.02999999999997</v>
      </c>
      <c r="L80" s="8">
        <f t="shared" si="32"/>
        <v>280.53999999999996</v>
      </c>
      <c r="M80" s="9">
        <f t="shared" si="28"/>
        <v>8.3918175246703469E-4</v>
      </c>
    </row>
    <row r="81" spans="1:13" x14ac:dyDescent="0.2">
      <c r="A81" s="22" t="s">
        <v>214</v>
      </c>
      <c r="B81" s="4"/>
      <c r="C81" s="4"/>
      <c r="D81" s="27" t="s">
        <v>215</v>
      </c>
      <c r="E81" s="4"/>
      <c r="F81" s="3"/>
      <c r="G81" s="71"/>
      <c r="H81" s="71"/>
      <c r="I81" s="71"/>
      <c r="J81" s="5">
        <f t="shared" ref="J81:K81" si="34">SUM(J82:J86)</f>
        <v>644.44299999999998</v>
      </c>
      <c r="K81" s="5">
        <f t="shared" si="34"/>
        <v>3882.4779999999996</v>
      </c>
      <c r="L81" s="5">
        <f>SUM(L82:L86)</f>
        <v>4526.9209999999994</v>
      </c>
      <c r="M81" s="6">
        <f t="shared" si="28"/>
        <v>1.3541418329150285E-2</v>
      </c>
    </row>
    <row r="82" spans="1:13" ht="25.5" x14ac:dyDescent="0.2">
      <c r="A82" s="23" t="s">
        <v>216</v>
      </c>
      <c r="B82" s="7" t="s">
        <v>217</v>
      </c>
      <c r="C82" s="17" t="s">
        <v>24</v>
      </c>
      <c r="D82" s="25" t="s">
        <v>218</v>
      </c>
      <c r="E82" s="18" t="s">
        <v>41</v>
      </c>
      <c r="F82" s="7">
        <v>101.5</v>
      </c>
      <c r="G82" s="8">
        <v>2.23</v>
      </c>
      <c r="H82" s="8">
        <f>28.09-6.5</f>
        <v>21.59</v>
      </c>
      <c r="I82" s="8">
        <f t="shared" ref="I82:I86" si="35">H82+G82</f>
        <v>23.82</v>
      </c>
      <c r="J82" s="8">
        <f t="shared" ref="J82:J86" si="36">G82*F82</f>
        <v>226.345</v>
      </c>
      <c r="K82" s="8">
        <f t="shared" ref="K82:K86" si="37">H82*F82</f>
        <v>2191.3849999999998</v>
      </c>
      <c r="L82" s="8">
        <f t="shared" ref="L82:L86" si="38">K82+J82</f>
        <v>2417.7299999999996</v>
      </c>
      <c r="M82" s="9">
        <f t="shared" si="28"/>
        <v>7.2321768674418032E-3</v>
      </c>
    </row>
    <row r="83" spans="1:13" x14ac:dyDescent="0.2">
      <c r="A83" s="23" t="s">
        <v>219</v>
      </c>
      <c r="B83" s="7" t="s">
        <v>220</v>
      </c>
      <c r="C83" s="17" t="s">
        <v>24</v>
      </c>
      <c r="D83" s="25" t="s">
        <v>221</v>
      </c>
      <c r="E83" s="18" t="s">
        <v>93</v>
      </c>
      <c r="F83" s="7">
        <v>11</v>
      </c>
      <c r="G83" s="8">
        <v>9.11</v>
      </c>
      <c r="H83" s="8">
        <f>53.3-5</f>
        <v>48.3</v>
      </c>
      <c r="I83" s="8">
        <f t="shared" si="35"/>
        <v>57.41</v>
      </c>
      <c r="J83" s="8">
        <f t="shared" si="36"/>
        <v>100.21</v>
      </c>
      <c r="K83" s="8">
        <f t="shared" si="37"/>
        <v>531.29999999999995</v>
      </c>
      <c r="L83" s="8">
        <f t="shared" si="38"/>
        <v>631.51</v>
      </c>
      <c r="M83" s="9">
        <f t="shared" si="28"/>
        <v>1.8890413791276008E-3</v>
      </c>
    </row>
    <row r="84" spans="1:13" ht="38.25" x14ac:dyDescent="0.2">
      <c r="A84" s="23" t="s">
        <v>222</v>
      </c>
      <c r="B84" s="7" t="s">
        <v>223</v>
      </c>
      <c r="C84" s="17" t="s">
        <v>24</v>
      </c>
      <c r="D84" s="25" t="s">
        <v>224</v>
      </c>
      <c r="E84" s="18" t="s">
        <v>41</v>
      </c>
      <c r="F84" s="7">
        <v>42.5</v>
      </c>
      <c r="G84" s="8">
        <v>3.12</v>
      </c>
      <c r="H84" s="8">
        <v>8.07</v>
      </c>
      <c r="I84" s="8">
        <f t="shared" si="35"/>
        <v>11.190000000000001</v>
      </c>
      <c r="J84" s="8">
        <f t="shared" si="36"/>
        <v>132.6</v>
      </c>
      <c r="K84" s="8">
        <f t="shared" si="37"/>
        <v>342.97500000000002</v>
      </c>
      <c r="L84" s="8">
        <f t="shared" si="38"/>
        <v>475.57500000000005</v>
      </c>
      <c r="M84" s="9">
        <f t="shared" si="28"/>
        <v>1.4225916515630929E-3</v>
      </c>
    </row>
    <row r="85" spans="1:13" ht="38.25" x14ac:dyDescent="0.2">
      <c r="A85" s="23" t="s">
        <v>225</v>
      </c>
      <c r="B85" s="7" t="s">
        <v>122</v>
      </c>
      <c r="C85" s="17" t="s">
        <v>24</v>
      </c>
      <c r="D85" s="25" t="s">
        <v>123</v>
      </c>
      <c r="E85" s="18" t="s">
        <v>41</v>
      </c>
      <c r="F85" s="7">
        <v>17.399999999999999</v>
      </c>
      <c r="G85" s="8">
        <v>7.82</v>
      </c>
      <c r="H85" s="8">
        <v>10.57</v>
      </c>
      <c r="I85" s="8">
        <f t="shared" si="35"/>
        <v>18.39</v>
      </c>
      <c r="J85" s="8">
        <f t="shared" si="36"/>
        <v>136.06799999999998</v>
      </c>
      <c r="K85" s="8">
        <f t="shared" si="37"/>
        <v>183.91799999999998</v>
      </c>
      <c r="L85" s="8">
        <f t="shared" si="38"/>
        <v>319.98599999999999</v>
      </c>
      <c r="M85" s="9">
        <f t="shared" si="28"/>
        <v>9.5717691682083335E-4</v>
      </c>
    </row>
    <row r="86" spans="1:13" x14ac:dyDescent="0.2">
      <c r="A86" s="23" t="s">
        <v>226</v>
      </c>
      <c r="B86" s="7" t="s">
        <v>227</v>
      </c>
      <c r="C86" s="17" t="s">
        <v>20</v>
      </c>
      <c r="D86" s="25" t="s">
        <v>228</v>
      </c>
      <c r="E86" s="18" t="s">
        <v>93</v>
      </c>
      <c r="F86" s="7">
        <v>1</v>
      </c>
      <c r="G86" s="8">
        <v>49.22</v>
      </c>
      <c r="H86" s="8">
        <v>632.9</v>
      </c>
      <c r="I86" s="8">
        <f t="shared" si="35"/>
        <v>682.12</v>
      </c>
      <c r="J86" s="8">
        <f t="shared" si="36"/>
        <v>49.22</v>
      </c>
      <c r="K86" s="8">
        <f t="shared" si="37"/>
        <v>632.9</v>
      </c>
      <c r="L86" s="8">
        <f t="shared" si="38"/>
        <v>682.12</v>
      </c>
      <c r="M86" s="9">
        <f t="shared" si="28"/>
        <v>2.0404315141969551E-3</v>
      </c>
    </row>
    <row r="87" spans="1:13" x14ac:dyDescent="0.2">
      <c r="A87" s="22" t="s">
        <v>229</v>
      </c>
      <c r="B87" s="4"/>
      <c r="C87" s="4"/>
      <c r="D87" s="27" t="s">
        <v>230</v>
      </c>
      <c r="E87" s="4"/>
      <c r="F87" s="3"/>
      <c r="G87" s="71"/>
      <c r="H87" s="71"/>
      <c r="I87" s="71"/>
      <c r="J87" s="5">
        <f>SUM(J88:J98)</f>
        <v>6018.4333000000006</v>
      </c>
      <c r="K87" s="5">
        <f t="shared" ref="K87" si="39">SUM(K88:K98)</f>
        <v>29017.529600000002</v>
      </c>
      <c r="L87" s="5">
        <f>SUM(L88:L98)</f>
        <v>35035.962900000006</v>
      </c>
      <c r="M87" s="6">
        <f t="shared" si="28"/>
        <v>0.1048033818556784</v>
      </c>
    </row>
    <row r="88" spans="1:13" ht="55.5" customHeight="1" x14ac:dyDescent="0.2">
      <c r="A88" s="23" t="s">
        <v>231</v>
      </c>
      <c r="B88" s="7" t="s">
        <v>232</v>
      </c>
      <c r="C88" s="17" t="s">
        <v>24</v>
      </c>
      <c r="D88" s="25" t="s">
        <v>233</v>
      </c>
      <c r="E88" s="18" t="s">
        <v>93</v>
      </c>
      <c r="F88" s="7">
        <v>13</v>
      </c>
      <c r="G88" s="8">
        <f>236.63-75</f>
        <v>161.63</v>
      </c>
      <c r="H88" s="8">
        <f>1145.77-145</f>
        <v>1000.77</v>
      </c>
      <c r="I88" s="8">
        <f t="shared" ref="I88:I98" si="40">H88+G88</f>
        <v>1162.4000000000001</v>
      </c>
      <c r="J88" s="8">
        <f t="shared" ref="J88:J98" si="41">G88*F88</f>
        <v>2101.19</v>
      </c>
      <c r="K88" s="8">
        <f t="shared" ref="K88:K98" si="42">H88*F88</f>
        <v>13010.01</v>
      </c>
      <c r="L88" s="8">
        <f t="shared" ref="L88:L98" si="43">K88+J88</f>
        <v>15111.2</v>
      </c>
      <c r="M88" s="9">
        <f t="shared" si="28"/>
        <v>4.5202264553646024E-2</v>
      </c>
    </row>
    <row r="89" spans="1:13" ht="25.5" x14ac:dyDescent="0.2">
      <c r="A89" s="23" t="s">
        <v>234</v>
      </c>
      <c r="B89" s="7" t="s">
        <v>235</v>
      </c>
      <c r="C89" s="17" t="s">
        <v>24</v>
      </c>
      <c r="D89" s="25" t="s">
        <v>510</v>
      </c>
      <c r="E89" s="18" t="s">
        <v>34</v>
      </c>
      <c r="F89" s="7">
        <v>7.98</v>
      </c>
      <c r="G89" s="8">
        <v>15.89</v>
      </c>
      <c r="H89" s="8">
        <v>676.58</v>
      </c>
      <c r="I89" s="8">
        <f t="shared" si="40"/>
        <v>692.47</v>
      </c>
      <c r="J89" s="8">
        <f t="shared" si="41"/>
        <v>126.80220000000001</v>
      </c>
      <c r="K89" s="8">
        <f t="shared" si="42"/>
        <v>5399.108400000001</v>
      </c>
      <c r="L89" s="8">
        <f t="shared" si="43"/>
        <v>5525.9106000000011</v>
      </c>
      <c r="M89" s="9">
        <f t="shared" si="28"/>
        <v>1.6529704645626878E-2</v>
      </c>
    </row>
    <row r="90" spans="1:13" x14ac:dyDescent="0.2">
      <c r="A90" s="23" t="s">
        <v>234</v>
      </c>
      <c r="B90" s="7" t="s">
        <v>236</v>
      </c>
      <c r="C90" s="17" t="s">
        <v>20</v>
      </c>
      <c r="D90" s="25" t="s">
        <v>237</v>
      </c>
      <c r="E90" s="18" t="s">
        <v>93</v>
      </c>
      <c r="F90" s="7">
        <v>7</v>
      </c>
      <c r="G90" s="8">
        <v>82.3</v>
      </c>
      <c r="H90" s="8">
        <v>29.72</v>
      </c>
      <c r="I90" s="8">
        <f t="shared" si="40"/>
        <v>112.02</v>
      </c>
      <c r="J90" s="8">
        <f t="shared" si="41"/>
        <v>576.1</v>
      </c>
      <c r="K90" s="8">
        <f t="shared" si="42"/>
        <v>208.04</v>
      </c>
      <c r="L90" s="8">
        <f t="shared" si="43"/>
        <v>784.14</v>
      </c>
      <c r="M90" s="9">
        <f t="shared" si="28"/>
        <v>2.3456048313235211E-3</v>
      </c>
    </row>
    <row r="91" spans="1:13" x14ac:dyDescent="0.2">
      <c r="A91" s="23" t="s">
        <v>238</v>
      </c>
      <c r="B91" s="7" t="s">
        <v>239</v>
      </c>
      <c r="C91" s="17" t="s">
        <v>20</v>
      </c>
      <c r="D91" s="25" t="s">
        <v>240</v>
      </c>
      <c r="E91" s="18" t="s">
        <v>93</v>
      </c>
      <c r="F91" s="7">
        <v>3</v>
      </c>
      <c r="G91" s="8">
        <v>93.97</v>
      </c>
      <c r="H91" s="8">
        <v>32.51</v>
      </c>
      <c r="I91" s="8">
        <f t="shared" si="40"/>
        <v>126.47999999999999</v>
      </c>
      <c r="J91" s="8">
        <f t="shared" si="41"/>
        <v>281.90999999999997</v>
      </c>
      <c r="K91" s="8">
        <f t="shared" si="42"/>
        <v>97.53</v>
      </c>
      <c r="L91" s="8">
        <f t="shared" si="43"/>
        <v>379.43999999999994</v>
      </c>
      <c r="M91" s="9">
        <f t="shared" si="28"/>
        <v>1.1350221863409553E-3</v>
      </c>
    </row>
    <row r="92" spans="1:13" ht="38.25" x14ac:dyDescent="0.2">
      <c r="A92" s="23" t="s">
        <v>238</v>
      </c>
      <c r="B92" s="7" t="s">
        <v>241</v>
      </c>
      <c r="C92" s="17" t="s">
        <v>24</v>
      </c>
      <c r="D92" s="25" t="s">
        <v>242</v>
      </c>
      <c r="E92" s="18" t="s">
        <v>34</v>
      </c>
      <c r="F92" s="7">
        <v>15.96</v>
      </c>
      <c r="G92" s="8">
        <v>11.56</v>
      </c>
      <c r="H92" s="8">
        <v>16.91</v>
      </c>
      <c r="I92" s="8">
        <f t="shared" si="40"/>
        <v>28.47</v>
      </c>
      <c r="J92" s="8">
        <f t="shared" si="41"/>
        <v>184.49760000000001</v>
      </c>
      <c r="K92" s="8">
        <f t="shared" si="42"/>
        <v>269.8836</v>
      </c>
      <c r="L92" s="8">
        <f t="shared" si="43"/>
        <v>454.38120000000004</v>
      </c>
      <c r="M92" s="9">
        <f t="shared" si="28"/>
        <v>1.359194452499017E-3</v>
      </c>
    </row>
    <row r="93" spans="1:13" x14ac:dyDescent="0.2">
      <c r="A93" s="23" t="s">
        <v>243</v>
      </c>
      <c r="B93" s="7" t="s">
        <v>244</v>
      </c>
      <c r="C93" s="17" t="s">
        <v>20</v>
      </c>
      <c r="D93" s="25" t="s">
        <v>245</v>
      </c>
      <c r="E93" s="18" t="s">
        <v>34</v>
      </c>
      <c r="F93" s="7">
        <v>1.85</v>
      </c>
      <c r="G93" s="8">
        <v>17.71</v>
      </c>
      <c r="H93" s="8">
        <v>193.86</v>
      </c>
      <c r="I93" s="8">
        <f t="shared" si="40"/>
        <v>211.57000000000002</v>
      </c>
      <c r="J93" s="8">
        <f t="shared" si="41"/>
        <v>32.763500000000001</v>
      </c>
      <c r="K93" s="8">
        <f t="shared" si="42"/>
        <v>358.64100000000002</v>
      </c>
      <c r="L93" s="8">
        <f t="shared" si="43"/>
        <v>391.40450000000004</v>
      </c>
      <c r="M93" s="9">
        <f t="shared" si="28"/>
        <v>1.1708116996987366E-3</v>
      </c>
    </row>
    <row r="94" spans="1:13" ht="51" x14ac:dyDescent="0.2">
      <c r="A94" s="23" t="s">
        <v>246</v>
      </c>
      <c r="B94" s="7" t="s">
        <v>247</v>
      </c>
      <c r="C94" s="17" t="s">
        <v>24</v>
      </c>
      <c r="D94" s="25" t="s">
        <v>248</v>
      </c>
      <c r="E94" s="18" t="s">
        <v>34</v>
      </c>
      <c r="F94" s="7">
        <v>6.15</v>
      </c>
      <c r="G94" s="8">
        <v>15.97</v>
      </c>
      <c r="H94" s="8">
        <v>498.08</v>
      </c>
      <c r="I94" s="8">
        <f t="shared" si="40"/>
        <v>514.04999999999995</v>
      </c>
      <c r="J94" s="8">
        <f t="shared" si="41"/>
        <v>98.215500000000006</v>
      </c>
      <c r="K94" s="8">
        <f t="shared" si="42"/>
        <v>3063.192</v>
      </c>
      <c r="L94" s="8">
        <f t="shared" si="43"/>
        <v>3161.4074999999998</v>
      </c>
      <c r="M94" s="9">
        <f t="shared" si="28"/>
        <v>9.4567458690825792E-3</v>
      </c>
    </row>
    <row r="95" spans="1:13" ht="38.25" x14ac:dyDescent="0.2">
      <c r="A95" s="23" t="s">
        <v>249</v>
      </c>
      <c r="B95" s="7" t="s">
        <v>250</v>
      </c>
      <c r="C95" s="17" t="s">
        <v>24</v>
      </c>
      <c r="D95" s="25" t="s">
        <v>402</v>
      </c>
      <c r="E95" s="18" t="s">
        <v>93</v>
      </c>
      <c r="F95" s="7">
        <v>1</v>
      </c>
      <c r="G95" s="8">
        <v>244.58</v>
      </c>
      <c r="H95" s="8">
        <f>4266.08-650</f>
        <v>3616.08</v>
      </c>
      <c r="I95" s="8">
        <f t="shared" si="40"/>
        <v>3860.66</v>
      </c>
      <c r="J95" s="8">
        <f t="shared" si="41"/>
        <v>244.58</v>
      </c>
      <c r="K95" s="8">
        <f t="shared" si="42"/>
        <v>3616.08</v>
      </c>
      <c r="L95" s="8">
        <f t="shared" si="43"/>
        <v>3860.66</v>
      </c>
      <c r="M95" s="9">
        <f t="shared" si="28"/>
        <v>1.1548425980178877E-2</v>
      </c>
    </row>
    <row r="96" spans="1:13" ht="25.5" x14ac:dyDescent="0.2">
      <c r="A96" s="23" t="s">
        <v>249</v>
      </c>
      <c r="B96" s="7" t="s">
        <v>251</v>
      </c>
      <c r="C96" s="17" t="s">
        <v>24</v>
      </c>
      <c r="D96" s="25" t="s">
        <v>252</v>
      </c>
      <c r="E96" s="18" t="s">
        <v>34</v>
      </c>
      <c r="F96" s="7">
        <v>6.15</v>
      </c>
      <c r="G96" s="8">
        <v>315.91000000000003</v>
      </c>
      <c r="H96" s="8">
        <v>396.98</v>
      </c>
      <c r="I96" s="8">
        <f t="shared" si="40"/>
        <v>712.8900000000001</v>
      </c>
      <c r="J96" s="8">
        <f t="shared" si="41"/>
        <v>1942.8465000000003</v>
      </c>
      <c r="K96" s="8">
        <f t="shared" si="42"/>
        <v>2441.4270000000001</v>
      </c>
      <c r="L96" s="8">
        <f t="shared" si="43"/>
        <v>4384.2735000000002</v>
      </c>
      <c r="M96" s="9">
        <f t="shared" si="28"/>
        <v>1.3114715616399731E-2</v>
      </c>
    </row>
    <row r="97" spans="1:13" x14ac:dyDescent="0.2">
      <c r="A97" s="23" t="s">
        <v>253</v>
      </c>
      <c r="B97" s="7" t="s">
        <v>254</v>
      </c>
      <c r="C97" s="17" t="s">
        <v>24</v>
      </c>
      <c r="D97" s="25" t="s">
        <v>255</v>
      </c>
      <c r="E97" s="18" t="s">
        <v>34</v>
      </c>
      <c r="F97" s="7">
        <v>60</v>
      </c>
      <c r="G97" s="8">
        <v>1.08</v>
      </c>
      <c r="H97" s="8">
        <v>1.35</v>
      </c>
      <c r="I97" s="8">
        <f t="shared" si="40"/>
        <v>2.4300000000000002</v>
      </c>
      <c r="J97" s="8">
        <f t="shared" si="41"/>
        <v>64.800000000000011</v>
      </c>
      <c r="K97" s="8">
        <f t="shared" si="42"/>
        <v>81</v>
      </c>
      <c r="L97" s="8">
        <f t="shared" si="43"/>
        <v>145.80000000000001</v>
      </c>
      <c r="M97" s="9">
        <f t="shared" si="28"/>
        <v>4.3613281353708448E-4</v>
      </c>
    </row>
    <row r="98" spans="1:13" ht="25.5" x14ac:dyDescent="0.2">
      <c r="A98" s="23" t="s">
        <v>256</v>
      </c>
      <c r="B98" s="7" t="s">
        <v>257</v>
      </c>
      <c r="C98" s="17" t="s">
        <v>24</v>
      </c>
      <c r="D98" s="25" t="s">
        <v>258</v>
      </c>
      <c r="E98" s="18" t="s">
        <v>34</v>
      </c>
      <c r="F98" s="7">
        <v>43.68</v>
      </c>
      <c r="G98" s="8">
        <v>8.35</v>
      </c>
      <c r="H98" s="8">
        <v>10.82</v>
      </c>
      <c r="I98" s="8">
        <f t="shared" si="40"/>
        <v>19.170000000000002</v>
      </c>
      <c r="J98" s="8">
        <f t="shared" si="41"/>
        <v>364.72800000000001</v>
      </c>
      <c r="K98" s="8">
        <f t="shared" si="42"/>
        <v>472.61759999999998</v>
      </c>
      <c r="L98" s="8">
        <f t="shared" si="43"/>
        <v>837.34559999999999</v>
      </c>
      <c r="M98" s="9">
        <f t="shared" si="28"/>
        <v>2.5047592073449798E-3</v>
      </c>
    </row>
    <row r="99" spans="1:13" x14ac:dyDescent="0.2">
      <c r="A99" s="22" t="s">
        <v>259</v>
      </c>
      <c r="B99" s="4"/>
      <c r="C99" s="4"/>
      <c r="D99" s="27" t="s">
        <v>412</v>
      </c>
      <c r="E99" s="4"/>
      <c r="F99" s="3"/>
      <c r="G99" s="71"/>
      <c r="H99" s="71"/>
      <c r="I99" s="71"/>
      <c r="J99" s="5">
        <f>SUM(J100:J112)</f>
        <v>15635.052199999998</v>
      </c>
      <c r="K99" s="5">
        <f t="shared" ref="K99" si="44">SUM(K100:K112)</f>
        <v>26335.441999999999</v>
      </c>
      <c r="L99" s="5">
        <f>SUM(L100:L112)</f>
        <v>41970.494200000001</v>
      </c>
      <c r="M99" s="6">
        <f t="shared" si="28"/>
        <v>0.1255467059052667</v>
      </c>
    </row>
    <row r="100" spans="1:13" ht="45.75" customHeight="1" x14ac:dyDescent="0.2">
      <c r="A100" s="23" t="s">
        <v>260</v>
      </c>
      <c r="B100" s="7" t="s">
        <v>55</v>
      </c>
      <c r="C100" s="17" t="s">
        <v>24</v>
      </c>
      <c r="D100" s="25" t="s">
        <v>56</v>
      </c>
      <c r="E100" s="18" t="s">
        <v>34</v>
      </c>
      <c r="F100" s="7">
        <v>241.01</v>
      </c>
      <c r="G100" s="8">
        <v>5.17</v>
      </c>
      <c r="H100" s="8">
        <v>3.71</v>
      </c>
      <c r="I100" s="8">
        <f t="shared" ref="I100:I112" si="45">H100+G100</f>
        <v>8.879999999999999</v>
      </c>
      <c r="J100" s="8">
        <f t="shared" ref="J100:J112" si="46">G100*F100</f>
        <v>1246.0217</v>
      </c>
      <c r="K100" s="8">
        <f t="shared" ref="K100:K112" si="47">H100*F100</f>
        <v>894.14709999999991</v>
      </c>
      <c r="L100" s="8">
        <f t="shared" ref="L100:L112" si="48">K100+J100</f>
        <v>2140.1687999999999</v>
      </c>
      <c r="M100" s="9">
        <f t="shared" si="28"/>
        <v>6.4019056254340581E-3</v>
      </c>
    </row>
    <row r="101" spans="1:13" ht="25.5" x14ac:dyDescent="0.2">
      <c r="A101" s="23" t="s">
        <v>261</v>
      </c>
      <c r="B101" s="7" t="s">
        <v>58</v>
      </c>
      <c r="C101" s="17" t="s">
        <v>24</v>
      </c>
      <c r="D101" s="25" t="s">
        <v>59</v>
      </c>
      <c r="E101" s="18" t="s">
        <v>41</v>
      </c>
      <c r="F101" s="7">
        <v>241.01</v>
      </c>
      <c r="G101" s="8">
        <v>17.96</v>
      </c>
      <c r="H101" s="8">
        <v>10.56</v>
      </c>
      <c r="I101" s="8">
        <f t="shared" si="45"/>
        <v>28.520000000000003</v>
      </c>
      <c r="J101" s="8">
        <f t="shared" si="46"/>
        <v>4328.5396000000001</v>
      </c>
      <c r="K101" s="8">
        <f t="shared" si="47"/>
        <v>2545.0655999999999</v>
      </c>
      <c r="L101" s="8">
        <f t="shared" si="48"/>
        <v>6873.6052</v>
      </c>
      <c r="M101" s="9">
        <f t="shared" si="28"/>
        <v>2.0561075274479656E-2</v>
      </c>
    </row>
    <row r="102" spans="1:13" ht="19.5" customHeight="1" x14ac:dyDescent="0.2">
      <c r="A102" s="23" t="s">
        <v>262</v>
      </c>
      <c r="B102" s="7" t="s">
        <v>61</v>
      </c>
      <c r="C102" s="17" t="s">
        <v>20</v>
      </c>
      <c r="D102" s="25" t="s">
        <v>62</v>
      </c>
      <c r="E102" s="18" t="s">
        <v>34</v>
      </c>
      <c r="F102" s="7">
        <v>241.01</v>
      </c>
      <c r="G102" s="8">
        <v>10.79</v>
      </c>
      <c r="H102" s="8">
        <v>5.73</v>
      </c>
      <c r="I102" s="8">
        <f t="shared" si="45"/>
        <v>16.52</v>
      </c>
      <c r="J102" s="8">
        <f t="shared" si="46"/>
        <v>2600.4978999999998</v>
      </c>
      <c r="K102" s="8">
        <f t="shared" si="47"/>
        <v>1380.9873</v>
      </c>
      <c r="L102" s="8">
        <f t="shared" si="48"/>
        <v>3981.4852000000001</v>
      </c>
      <c r="M102" s="9">
        <f t="shared" si="28"/>
        <v>1.1909851456325523E-2</v>
      </c>
    </row>
    <row r="103" spans="1:13" ht="38.25" x14ac:dyDescent="0.2">
      <c r="A103" s="23" t="s">
        <v>263</v>
      </c>
      <c r="B103" s="7" t="s">
        <v>264</v>
      </c>
      <c r="C103" s="17" t="s">
        <v>24</v>
      </c>
      <c r="D103" s="25" t="s">
        <v>265</v>
      </c>
      <c r="E103" s="18" t="s">
        <v>34</v>
      </c>
      <c r="F103" s="7">
        <v>241.01</v>
      </c>
      <c r="G103" s="8">
        <v>0.64</v>
      </c>
      <c r="H103" s="8">
        <v>1.94</v>
      </c>
      <c r="I103" s="8">
        <f t="shared" si="45"/>
        <v>2.58</v>
      </c>
      <c r="J103" s="8">
        <f t="shared" si="46"/>
        <v>154.24639999999999</v>
      </c>
      <c r="K103" s="8">
        <f t="shared" si="47"/>
        <v>467.55939999999998</v>
      </c>
      <c r="L103" s="8">
        <f t="shared" si="48"/>
        <v>621.80579999999998</v>
      </c>
      <c r="M103" s="9">
        <f t="shared" si="28"/>
        <v>1.8600131209031386E-3</v>
      </c>
    </row>
    <row r="104" spans="1:13" ht="38.25" x14ac:dyDescent="0.2">
      <c r="A104" s="23" t="s">
        <v>266</v>
      </c>
      <c r="B104" s="7" t="s">
        <v>70</v>
      </c>
      <c r="C104" s="17" t="s">
        <v>24</v>
      </c>
      <c r="D104" s="25" t="s">
        <v>71</v>
      </c>
      <c r="E104" s="18" t="s">
        <v>34</v>
      </c>
      <c r="F104" s="7">
        <v>241.01</v>
      </c>
      <c r="G104" s="8">
        <v>5.26</v>
      </c>
      <c r="H104" s="8">
        <v>9.66</v>
      </c>
      <c r="I104" s="8">
        <f t="shared" si="45"/>
        <v>14.92</v>
      </c>
      <c r="J104" s="8">
        <f t="shared" si="46"/>
        <v>1267.7125999999998</v>
      </c>
      <c r="K104" s="8">
        <f t="shared" si="47"/>
        <v>2328.1565999999998</v>
      </c>
      <c r="L104" s="8">
        <f t="shared" si="48"/>
        <v>3595.8691999999996</v>
      </c>
      <c r="M104" s="9">
        <f t="shared" si="28"/>
        <v>1.0756354947238304E-2</v>
      </c>
    </row>
    <row r="105" spans="1:13" ht="38.25" x14ac:dyDescent="0.2">
      <c r="A105" s="23" t="s">
        <v>267</v>
      </c>
      <c r="B105" s="7" t="s">
        <v>46</v>
      </c>
      <c r="C105" s="17" t="s">
        <v>24</v>
      </c>
      <c r="D105" s="25" t="s">
        <v>47</v>
      </c>
      <c r="E105" s="18" t="s">
        <v>34</v>
      </c>
      <c r="F105" s="7">
        <v>30.8</v>
      </c>
      <c r="G105" s="8">
        <v>32.69</v>
      </c>
      <c r="H105" s="8">
        <v>84.5</v>
      </c>
      <c r="I105" s="8">
        <f t="shared" si="45"/>
        <v>117.19</v>
      </c>
      <c r="J105" s="8">
        <f t="shared" si="46"/>
        <v>1006.852</v>
      </c>
      <c r="K105" s="8">
        <f t="shared" si="47"/>
        <v>2602.6</v>
      </c>
      <c r="L105" s="8">
        <f t="shared" si="48"/>
        <v>3609.4519999999998</v>
      </c>
      <c r="M105" s="9">
        <f t="shared" si="28"/>
        <v>1.0796985295521649E-2</v>
      </c>
    </row>
    <row r="106" spans="1:13" ht="38.25" x14ac:dyDescent="0.2">
      <c r="A106" s="23" t="s">
        <v>268</v>
      </c>
      <c r="B106" s="7" t="s">
        <v>269</v>
      </c>
      <c r="C106" s="17" t="s">
        <v>24</v>
      </c>
      <c r="D106" s="25" t="s">
        <v>270</v>
      </c>
      <c r="E106" s="18" t="s">
        <v>34</v>
      </c>
      <c r="F106" s="7">
        <v>30.8</v>
      </c>
      <c r="G106" s="8">
        <v>12.02</v>
      </c>
      <c r="H106" s="8">
        <v>9.0500000000000007</v>
      </c>
      <c r="I106" s="8">
        <f t="shared" si="45"/>
        <v>21.07</v>
      </c>
      <c r="J106" s="8">
        <f t="shared" si="46"/>
        <v>370.21600000000001</v>
      </c>
      <c r="K106" s="8">
        <f t="shared" si="47"/>
        <v>278.74</v>
      </c>
      <c r="L106" s="8">
        <f t="shared" si="48"/>
        <v>648.95600000000002</v>
      </c>
      <c r="M106" s="9">
        <f t="shared" ref="M106:M130" si="49">L106/$L$213</f>
        <v>1.9412277513153099E-3</v>
      </c>
    </row>
    <row r="107" spans="1:13" ht="25.5" x14ac:dyDescent="0.2">
      <c r="A107" s="23" t="s">
        <v>271</v>
      </c>
      <c r="B107" s="7" t="s">
        <v>75</v>
      </c>
      <c r="C107" s="17" t="s">
        <v>24</v>
      </c>
      <c r="D107" s="25" t="s">
        <v>76</v>
      </c>
      <c r="E107" s="18" t="s">
        <v>34</v>
      </c>
      <c r="F107" s="7">
        <v>120</v>
      </c>
      <c r="G107" s="8">
        <v>3.98</v>
      </c>
      <c r="H107" s="8">
        <v>1.45</v>
      </c>
      <c r="I107" s="8">
        <f t="shared" si="45"/>
        <v>5.43</v>
      </c>
      <c r="J107" s="8">
        <f t="shared" si="46"/>
        <v>477.6</v>
      </c>
      <c r="K107" s="8">
        <f t="shared" si="47"/>
        <v>174</v>
      </c>
      <c r="L107" s="8">
        <f t="shared" si="48"/>
        <v>651.6</v>
      </c>
      <c r="M107" s="9">
        <f t="shared" si="49"/>
        <v>1.9491367716101798E-3</v>
      </c>
    </row>
    <row r="108" spans="1:13" ht="25.5" x14ac:dyDescent="0.2">
      <c r="A108" s="23" t="s">
        <v>272</v>
      </c>
      <c r="B108" s="7" t="s">
        <v>78</v>
      </c>
      <c r="C108" s="17" t="s">
        <v>24</v>
      </c>
      <c r="D108" s="25" t="s">
        <v>79</v>
      </c>
      <c r="E108" s="18" t="s">
        <v>34</v>
      </c>
      <c r="F108" s="7">
        <v>120</v>
      </c>
      <c r="G108" s="8">
        <v>13.17</v>
      </c>
      <c r="H108" s="8">
        <v>80.28</v>
      </c>
      <c r="I108" s="8">
        <f t="shared" si="45"/>
        <v>93.45</v>
      </c>
      <c r="J108" s="8">
        <f t="shared" si="46"/>
        <v>1580.4</v>
      </c>
      <c r="K108" s="8">
        <f t="shared" si="47"/>
        <v>9633.6</v>
      </c>
      <c r="L108" s="8">
        <f t="shared" si="48"/>
        <v>11214</v>
      </c>
      <c r="M108" s="9">
        <f t="shared" si="49"/>
        <v>3.3544536152296738E-2</v>
      </c>
    </row>
    <row r="109" spans="1:13" x14ac:dyDescent="0.2">
      <c r="A109" s="23" t="s">
        <v>273</v>
      </c>
      <c r="B109" s="7" t="s">
        <v>274</v>
      </c>
      <c r="C109" s="17" t="s">
        <v>20</v>
      </c>
      <c r="D109" s="25" t="s">
        <v>513</v>
      </c>
      <c r="E109" s="18" t="s">
        <v>41</v>
      </c>
      <c r="F109" s="7">
        <v>91.5</v>
      </c>
      <c r="G109" s="8">
        <v>13.33</v>
      </c>
      <c r="H109" s="8">
        <v>33.25</v>
      </c>
      <c r="I109" s="8">
        <f t="shared" si="45"/>
        <v>46.58</v>
      </c>
      <c r="J109" s="8">
        <f t="shared" si="46"/>
        <v>1219.6949999999999</v>
      </c>
      <c r="K109" s="8">
        <f t="shared" si="47"/>
        <v>3042.375</v>
      </c>
      <c r="L109" s="8">
        <f t="shared" si="48"/>
        <v>4262.07</v>
      </c>
      <c r="M109" s="9">
        <f t="shared" si="49"/>
        <v>1.2749167219423877E-2</v>
      </c>
    </row>
    <row r="110" spans="1:13" ht="38.25" x14ac:dyDescent="0.2">
      <c r="A110" s="23" t="s">
        <v>275</v>
      </c>
      <c r="B110" s="7" t="s">
        <v>241</v>
      </c>
      <c r="C110" s="17" t="s">
        <v>24</v>
      </c>
      <c r="D110" s="25" t="s">
        <v>242</v>
      </c>
      <c r="E110" s="18" t="s">
        <v>34</v>
      </c>
      <c r="F110" s="7">
        <v>32.6</v>
      </c>
      <c r="G110" s="8">
        <v>11.56</v>
      </c>
      <c r="H110" s="8">
        <v>16.91</v>
      </c>
      <c r="I110" s="8">
        <f t="shared" si="45"/>
        <v>28.47</v>
      </c>
      <c r="J110" s="8">
        <f t="shared" si="46"/>
        <v>376.85600000000005</v>
      </c>
      <c r="K110" s="8">
        <f t="shared" si="47"/>
        <v>551.26600000000008</v>
      </c>
      <c r="L110" s="8">
        <f t="shared" si="48"/>
        <v>928.12200000000007</v>
      </c>
      <c r="M110" s="9">
        <f t="shared" si="49"/>
        <v>2.7762994455806989E-3</v>
      </c>
    </row>
    <row r="111" spans="1:13" ht="25.5" x14ac:dyDescent="0.2">
      <c r="A111" s="23" t="s">
        <v>276</v>
      </c>
      <c r="B111" s="7" t="s">
        <v>277</v>
      </c>
      <c r="C111" s="17" t="s">
        <v>24</v>
      </c>
      <c r="D111" s="25" t="s">
        <v>278</v>
      </c>
      <c r="E111" s="18" t="s">
        <v>34</v>
      </c>
      <c r="F111" s="7">
        <v>42.5</v>
      </c>
      <c r="G111" s="8">
        <v>8.35</v>
      </c>
      <c r="H111" s="8">
        <v>9.81</v>
      </c>
      <c r="I111" s="8">
        <f t="shared" si="45"/>
        <v>18.16</v>
      </c>
      <c r="J111" s="8">
        <f t="shared" si="46"/>
        <v>354.875</v>
      </c>
      <c r="K111" s="8">
        <f t="shared" si="47"/>
        <v>416.92500000000001</v>
      </c>
      <c r="L111" s="8">
        <f t="shared" si="48"/>
        <v>771.8</v>
      </c>
      <c r="M111" s="9">
        <f t="shared" si="49"/>
        <v>2.3086920815358143E-3</v>
      </c>
    </row>
    <row r="112" spans="1:13" ht="25.5" x14ac:dyDescent="0.2">
      <c r="A112" s="23" t="s">
        <v>279</v>
      </c>
      <c r="B112" s="7" t="s">
        <v>280</v>
      </c>
      <c r="C112" s="17" t="s">
        <v>20</v>
      </c>
      <c r="D112" s="25" t="s">
        <v>281</v>
      </c>
      <c r="E112" s="18" t="s">
        <v>34</v>
      </c>
      <c r="F112" s="7">
        <v>6</v>
      </c>
      <c r="G112" s="8">
        <v>108.59</v>
      </c>
      <c r="H112" s="8">
        <f>421.67-85</f>
        <v>336.67</v>
      </c>
      <c r="I112" s="8">
        <f t="shared" si="45"/>
        <v>445.26</v>
      </c>
      <c r="J112" s="8">
        <f t="shared" si="46"/>
        <v>651.54</v>
      </c>
      <c r="K112" s="8">
        <f t="shared" si="47"/>
        <v>2020.02</v>
      </c>
      <c r="L112" s="8">
        <f t="shared" si="48"/>
        <v>2671.56</v>
      </c>
      <c r="M112" s="9">
        <f t="shared" si="49"/>
        <v>7.9914607636017362E-3</v>
      </c>
    </row>
    <row r="113" spans="1:13" x14ac:dyDescent="0.2">
      <c r="A113" s="22" t="s">
        <v>282</v>
      </c>
      <c r="B113" s="4"/>
      <c r="C113" s="4"/>
      <c r="D113" s="27" t="s">
        <v>283</v>
      </c>
      <c r="E113" s="4"/>
      <c r="F113" s="3"/>
      <c r="G113" s="71"/>
      <c r="H113" s="71"/>
      <c r="I113" s="71"/>
      <c r="J113" s="5">
        <f>SUM(J114:J130)</f>
        <v>2337.1844000000001</v>
      </c>
      <c r="K113" s="5">
        <f>SUM(K114:K130)</f>
        <v>20965.831699999999</v>
      </c>
      <c r="L113" s="5">
        <f t="shared" ref="L113" si="50">SUM(L114:L130)</f>
        <v>23303.016099999997</v>
      </c>
      <c r="M113" s="6">
        <f t="shared" si="49"/>
        <v>6.9706515607633579E-2</v>
      </c>
    </row>
    <row r="114" spans="1:13" ht="19.5" customHeight="1" x14ac:dyDescent="0.2">
      <c r="A114" s="23" t="s">
        <v>284</v>
      </c>
      <c r="B114" s="7" t="s">
        <v>285</v>
      </c>
      <c r="C114" s="17" t="s">
        <v>20</v>
      </c>
      <c r="D114" s="25" t="s">
        <v>286</v>
      </c>
      <c r="E114" s="18" t="s">
        <v>93</v>
      </c>
      <c r="F114" s="7">
        <v>2</v>
      </c>
      <c r="G114" s="8">
        <v>82.79</v>
      </c>
      <c r="H114" s="8">
        <f>1968.3-350</f>
        <v>1618.3</v>
      </c>
      <c r="I114" s="8">
        <f t="shared" ref="I114:I130" si="51">H114+G114</f>
        <v>1701.09</v>
      </c>
      <c r="J114" s="8">
        <f t="shared" ref="J114:J130" si="52">G114*F114</f>
        <v>165.58</v>
      </c>
      <c r="K114" s="8">
        <f t="shared" ref="K114:K130" si="53">H114*F114</f>
        <v>3236.6</v>
      </c>
      <c r="L114" s="8">
        <f t="shared" ref="L114:L130" si="54">K114+J114</f>
        <v>3402.18</v>
      </c>
      <c r="M114" s="9">
        <f t="shared" si="49"/>
        <v>1.0176970751437571E-2</v>
      </c>
    </row>
    <row r="115" spans="1:13" ht="25.5" x14ac:dyDescent="0.2">
      <c r="A115" s="23" t="s">
        <v>287</v>
      </c>
      <c r="B115" s="7" t="s">
        <v>288</v>
      </c>
      <c r="C115" s="17" t="s">
        <v>24</v>
      </c>
      <c r="D115" s="25" t="s">
        <v>289</v>
      </c>
      <c r="E115" s="18" t="s">
        <v>93</v>
      </c>
      <c r="F115" s="7">
        <v>4</v>
      </c>
      <c r="G115" s="8">
        <v>4.58</v>
      </c>
      <c r="H115" s="8">
        <v>179.62</v>
      </c>
      <c r="I115" s="8">
        <f t="shared" si="51"/>
        <v>184.20000000000002</v>
      </c>
      <c r="J115" s="8">
        <f t="shared" si="52"/>
        <v>18.32</v>
      </c>
      <c r="K115" s="8">
        <f t="shared" si="53"/>
        <v>718.48</v>
      </c>
      <c r="L115" s="8">
        <f t="shared" si="54"/>
        <v>736.80000000000007</v>
      </c>
      <c r="M115" s="9">
        <f t="shared" si="49"/>
        <v>2.203996275817036E-3</v>
      </c>
    </row>
    <row r="116" spans="1:13" ht="38.25" x14ac:dyDescent="0.2">
      <c r="A116" s="23" t="s">
        <v>290</v>
      </c>
      <c r="B116" s="7" t="s">
        <v>291</v>
      </c>
      <c r="C116" s="17" t="s">
        <v>24</v>
      </c>
      <c r="D116" s="25" t="s">
        <v>292</v>
      </c>
      <c r="E116" s="18" t="s">
        <v>34</v>
      </c>
      <c r="F116" s="7">
        <v>8.35</v>
      </c>
      <c r="G116" s="8">
        <v>28.79</v>
      </c>
      <c r="H116" s="8">
        <v>161.09</v>
      </c>
      <c r="I116" s="8">
        <f t="shared" si="51"/>
        <v>189.88</v>
      </c>
      <c r="J116" s="8">
        <f t="shared" si="52"/>
        <v>240.39649999999997</v>
      </c>
      <c r="K116" s="8">
        <f t="shared" si="53"/>
        <v>1345.1015</v>
      </c>
      <c r="L116" s="8">
        <f t="shared" si="54"/>
        <v>1585.498</v>
      </c>
      <c r="M116" s="9">
        <f t="shared" si="49"/>
        <v>4.7427140164432117E-3</v>
      </c>
    </row>
    <row r="117" spans="1:13" ht="25.5" x14ac:dyDescent="0.2">
      <c r="A117" s="23" t="s">
        <v>290</v>
      </c>
      <c r="B117" s="7" t="s">
        <v>293</v>
      </c>
      <c r="C117" s="17" t="s">
        <v>24</v>
      </c>
      <c r="D117" s="25" t="s">
        <v>294</v>
      </c>
      <c r="E117" s="18" t="s">
        <v>34</v>
      </c>
      <c r="F117" s="7">
        <v>8.35</v>
      </c>
      <c r="G117" s="8">
        <v>2.64</v>
      </c>
      <c r="H117" s="8">
        <v>0.99</v>
      </c>
      <c r="I117" s="8">
        <f t="shared" si="51"/>
        <v>3.63</v>
      </c>
      <c r="J117" s="8">
        <f t="shared" si="52"/>
        <v>22.044</v>
      </c>
      <c r="K117" s="8">
        <f t="shared" si="53"/>
        <v>8.2664999999999988</v>
      </c>
      <c r="L117" s="8">
        <f t="shared" si="54"/>
        <v>30.310499999999998</v>
      </c>
      <c r="M117" s="9">
        <f t="shared" si="49"/>
        <v>9.0668063406829883E-5</v>
      </c>
    </row>
    <row r="118" spans="1:13" ht="25.5" x14ac:dyDescent="0.2">
      <c r="A118" s="23" t="s">
        <v>295</v>
      </c>
      <c r="B118" s="7" t="s">
        <v>296</v>
      </c>
      <c r="C118" s="17" t="s">
        <v>24</v>
      </c>
      <c r="D118" s="25" t="s">
        <v>297</v>
      </c>
      <c r="E118" s="18" t="s">
        <v>93</v>
      </c>
      <c r="F118" s="7">
        <v>1</v>
      </c>
      <c r="G118" s="8">
        <v>49.84</v>
      </c>
      <c r="H118" s="8">
        <v>820.94</v>
      </c>
      <c r="I118" s="8">
        <f t="shared" si="51"/>
        <v>870.78000000000009</v>
      </c>
      <c r="J118" s="8">
        <f t="shared" si="52"/>
        <v>49.84</v>
      </c>
      <c r="K118" s="8">
        <f t="shared" si="53"/>
        <v>820.94</v>
      </c>
      <c r="L118" s="8">
        <f t="shared" si="54"/>
        <v>870.78000000000009</v>
      </c>
      <c r="M118" s="9">
        <f t="shared" si="49"/>
        <v>2.6047718201085215E-3</v>
      </c>
    </row>
    <row r="119" spans="1:13" ht="38.25" x14ac:dyDescent="0.2">
      <c r="A119" s="23" t="s">
        <v>298</v>
      </c>
      <c r="B119" s="7" t="s">
        <v>299</v>
      </c>
      <c r="C119" s="17" t="s">
        <v>24</v>
      </c>
      <c r="D119" s="25" t="s">
        <v>300</v>
      </c>
      <c r="E119" s="18" t="s">
        <v>93</v>
      </c>
      <c r="F119" s="7">
        <v>3</v>
      </c>
      <c r="G119" s="8">
        <v>20.82</v>
      </c>
      <c r="H119" s="8">
        <v>467.46</v>
      </c>
      <c r="I119" s="8">
        <f t="shared" si="51"/>
        <v>488.28</v>
      </c>
      <c r="J119" s="8">
        <f t="shared" si="52"/>
        <v>62.46</v>
      </c>
      <c r="K119" s="8">
        <f t="shared" si="53"/>
        <v>1402.3799999999999</v>
      </c>
      <c r="L119" s="8">
        <f t="shared" si="54"/>
        <v>1464.84</v>
      </c>
      <c r="M119" s="9">
        <f t="shared" si="49"/>
        <v>4.3817886871170284E-3</v>
      </c>
    </row>
    <row r="120" spans="1:13" x14ac:dyDescent="0.2">
      <c r="A120" s="23" t="s">
        <v>298</v>
      </c>
      <c r="B120" s="7" t="s">
        <v>301</v>
      </c>
      <c r="C120" s="17" t="s">
        <v>20</v>
      </c>
      <c r="D120" s="25" t="s">
        <v>302</v>
      </c>
      <c r="E120" s="18" t="s">
        <v>34</v>
      </c>
      <c r="F120" s="7">
        <v>2.87</v>
      </c>
      <c r="G120" s="8">
        <v>32.770000000000003</v>
      </c>
      <c r="H120" s="8">
        <f>575.11+150</f>
        <v>725.11</v>
      </c>
      <c r="I120" s="8">
        <f t="shared" si="51"/>
        <v>757.88</v>
      </c>
      <c r="J120" s="8">
        <f t="shared" si="52"/>
        <v>94.049900000000008</v>
      </c>
      <c r="K120" s="8">
        <f t="shared" si="53"/>
        <v>2081.0657000000001</v>
      </c>
      <c r="L120" s="8">
        <f t="shared" si="54"/>
        <v>2175.1156000000001</v>
      </c>
      <c r="M120" s="9">
        <f t="shared" si="49"/>
        <v>6.5064422935281448E-3</v>
      </c>
    </row>
    <row r="121" spans="1:13" ht="52.5" customHeight="1" x14ac:dyDescent="0.2">
      <c r="A121" s="23" t="s">
        <v>303</v>
      </c>
      <c r="B121" s="7" t="s">
        <v>304</v>
      </c>
      <c r="C121" s="17" t="s">
        <v>24</v>
      </c>
      <c r="D121" s="25" t="s">
        <v>305</v>
      </c>
      <c r="E121" s="18" t="s">
        <v>93</v>
      </c>
      <c r="F121" s="7">
        <v>3</v>
      </c>
      <c r="G121" s="8">
        <v>97.52</v>
      </c>
      <c r="H121" s="8">
        <v>833.78</v>
      </c>
      <c r="I121" s="8">
        <f t="shared" si="51"/>
        <v>931.3</v>
      </c>
      <c r="J121" s="8">
        <f t="shared" si="52"/>
        <v>292.56</v>
      </c>
      <c r="K121" s="8">
        <f t="shared" si="53"/>
        <v>2501.34</v>
      </c>
      <c r="L121" s="8">
        <f t="shared" si="54"/>
        <v>2793.9</v>
      </c>
      <c r="M121" s="9">
        <f t="shared" si="49"/>
        <v>8.3574174742198915E-3</v>
      </c>
    </row>
    <row r="122" spans="1:13" x14ac:dyDescent="0.2">
      <c r="A122" s="23" t="s">
        <v>306</v>
      </c>
      <c r="B122" s="7" t="s">
        <v>307</v>
      </c>
      <c r="C122" s="17" t="s">
        <v>20</v>
      </c>
      <c r="D122" s="25" t="s">
        <v>308</v>
      </c>
      <c r="E122" s="18" t="s">
        <v>93</v>
      </c>
      <c r="F122" s="7">
        <v>3</v>
      </c>
      <c r="G122" s="8">
        <v>7.97</v>
      </c>
      <c r="H122" s="8">
        <v>40.42</v>
      </c>
      <c r="I122" s="8">
        <f t="shared" si="51"/>
        <v>48.39</v>
      </c>
      <c r="J122" s="8">
        <f t="shared" si="52"/>
        <v>23.91</v>
      </c>
      <c r="K122" s="8">
        <f t="shared" si="53"/>
        <v>121.26</v>
      </c>
      <c r="L122" s="8">
        <f t="shared" si="54"/>
        <v>145.17000000000002</v>
      </c>
      <c r="M122" s="9">
        <f t="shared" si="49"/>
        <v>4.3424828903414648E-4</v>
      </c>
    </row>
    <row r="123" spans="1:13" x14ac:dyDescent="0.2">
      <c r="A123" s="23" t="s">
        <v>309</v>
      </c>
      <c r="B123" s="7" t="s">
        <v>310</v>
      </c>
      <c r="C123" s="17" t="s">
        <v>20</v>
      </c>
      <c r="D123" s="25" t="s">
        <v>311</v>
      </c>
      <c r="E123" s="18" t="s">
        <v>93</v>
      </c>
      <c r="F123" s="7">
        <v>3</v>
      </c>
      <c r="G123" s="8">
        <v>17.5</v>
      </c>
      <c r="H123" s="8">
        <v>113.01</v>
      </c>
      <c r="I123" s="8">
        <f t="shared" si="51"/>
        <v>130.51</v>
      </c>
      <c r="J123" s="8">
        <f t="shared" si="52"/>
        <v>52.5</v>
      </c>
      <c r="K123" s="8">
        <f t="shared" si="53"/>
        <v>339.03000000000003</v>
      </c>
      <c r="L123" s="8">
        <f t="shared" si="54"/>
        <v>391.53000000000003</v>
      </c>
      <c r="M123" s="9">
        <f t="shared" si="49"/>
        <v>1.1711871089449568E-3</v>
      </c>
    </row>
    <row r="124" spans="1:13" ht="38.25" x14ac:dyDescent="0.2">
      <c r="A124" s="23" t="s">
        <v>312</v>
      </c>
      <c r="B124" s="7" t="s">
        <v>313</v>
      </c>
      <c r="C124" s="17" t="s">
        <v>24</v>
      </c>
      <c r="D124" s="25" t="s">
        <v>314</v>
      </c>
      <c r="E124" s="18" t="s">
        <v>93</v>
      </c>
      <c r="F124" s="7">
        <v>3</v>
      </c>
      <c r="G124" s="8">
        <v>31.35</v>
      </c>
      <c r="H124" s="8">
        <v>688.76</v>
      </c>
      <c r="I124" s="8">
        <f t="shared" si="51"/>
        <v>720.11</v>
      </c>
      <c r="J124" s="8">
        <f t="shared" si="52"/>
        <v>94.050000000000011</v>
      </c>
      <c r="K124" s="8">
        <f t="shared" si="53"/>
        <v>2066.2799999999997</v>
      </c>
      <c r="L124" s="8">
        <f t="shared" si="54"/>
        <v>2160.33</v>
      </c>
      <c r="M124" s="9">
        <f t="shared" si="49"/>
        <v>6.462213999098557E-3</v>
      </c>
    </row>
    <row r="125" spans="1:13" ht="25.5" x14ac:dyDescent="0.2">
      <c r="A125" s="23" t="s">
        <v>315</v>
      </c>
      <c r="B125" s="7" t="s">
        <v>316</v>
      </c>
      <c r="C125" s="17" t="s">
        <v>24</v>
      </c>
      <c r="D125" s="25" t="s">
        <v>317</v>
      </c>
      <c r="E125" s="18" t="s">
        <v>34</v>
      </c>
      <c r="F125" s="7">
        <v>0.9</v>
      </c>
      <c r="G125" s="8">
        <v>45.52</v>
      </c>
      <c r="H125" s="8">
        <v>455.56</v>
      </c>
      <c r="I125" s="8">
        <f t="shared" si="51"/>
        <v>501.08</v>
      </c>
      <c r="J125" s="8">
        <f t="shared" si="52"/>
        <v>40.968000000000004</v>
      </c>
      <c r="K125" s="8">
        <f t="shared" si="53"/>
        <v>410.00400000000002</v>
      </c>
      <c r="L125" s="8">
        <f t="shared" si="54"/>
        <v>450.97200000000004</v>
      </c>
      <c r="M125" s="9">
        <f t="shared" si="49"/>
        <v>1.3489964827602611E-3</v>
      </c>
    </row>
    <row r="126" spans="1:13" ht="38.25" x14ac:dyDescent="0.2">
      <c r="A126" s="23" t="s">
        <v>318</v>
      </c>
      <c r="B126" s="7" t="s">
        <v>319</v>
      </c>
      <c r="C126" s="17" t="s">
        <v>24</v>
      </c>
      <c r="D126" s="25" t="s">
        <v>320</v>
      </c>
      <c r="E126" s="18" t="s">
        <v>93</v>
      </c>
      <c r="F126" s="7">
        <v>9</v>
      </c>
      <c r="G126" s="8">
        <v>10.050000000000001</v>
      </c>
      <c r="H126" s="8">
        <v>123.58</v>
      </c>
      <c r="I126" s="8">
        <f t="shared" si="51"/>
        <v>133.63</v>
      </c>
      <c r="J126" s="8">
        <f t="shared" si="52"/>
        <v>90.45</v>
      </c>
      <c r="K126" s="8">
        <f t="shared" si="53"/>
        <v>1112.22</v>
      </c>
      <c r="L126" s="8">
        <f t="shared" si="54"/>
        <v>1202.67</v>
      </c>
      <c r="M126" s="9">
        <f t="shared" si="49"/>
        <v>3.5975572761086788E-3</v>
      </c>
    </row>
    <row r="127" spans="1:13" ht="25.5" x14ac:dyDescent="0.2">
      <c r="A127" s="23" t="s">
        <v>321</v>
      </c>
      <c r="B127" s="7" t="s">
        <v>322</v>
      </c>
      <c r="C127" s="17" t="s">
        <v>20</v>
      </c>
      <c r="D127" s="25" t="s">
        <v>323</v>
      </c>
      <c r="E127" s="18" t="s">
        <v>34</v>
      </c>
      <c r="F127" s="7">
        <v>4.32</v>
      </c>
      <c r="G127" s="8">
        <v>47.3</v>
      </c>
      <c r="H127" s="8">
        <v>591.20000000000005</v>
      </c>
      <c r="I127" s="8">
        <f t="shared" si="51"/>
        <v>638.5</v>
      </c>
      <c r="J127" s="8">
        <f t="shared" si="52"/>
        <v>204.33600000000001</v>
      </c>
      <c r="K127" s="8">
        <f t="shared" si="53"/>
        <v>2553.9840000000004</v>
      </c>
      <c r="L127" s="8">
        <f t="shared" si="54"/>
        <v>2758.3200000000006</v>
      </c>
      <c r="M127" s="9">
        <f t="shared" si="49"/>
        <v>8.2509867094349171E-3</v>
      </c>
    </row>
    <row r="128" spans="1:13" x14ac:dyDescent="0.2">
      <c r="A128" s="23" t="s">
        <v>324</v>
      </c>
      <c r="B128" s="7" t="s">
        <v>325</v>
      </c>
      <c r="C128" s="17" t="s">
        <v>20</v>
      </c>
      <c r="D128" s="25" t="s">
        <v>326</v>
      </c>
      <c r="E128" s="18" t="s">
        <v>93</v>
      </c>
      <c r="F128" s="7">
        <v>2</v>
      </c>
      <c r="G128" s="8">
        <v>143.61000000000001</v>
      </c>
      <c r="H128" s="8">
        <v>356.94</v>
      </c>
      <c r="I128" s="8">
        <f t="shared" si="51"/>
        <v>500.55</v>
      </c>
      <c r="J128" s="8">
        <f t="shared" si="52"/>
        <v>287.22000000000003</v>
      </c>
      <c r="K128" s="8">
        <f t="shared" si="53"/>
        <v>713.88</v>
      </c>
      <c r="L128" s="8">
        <f t="shared" si="54"/>
        <v>1001.1</v>
      </c>
      <c r="M128" s="9">
        <f t="shared" si="49"/>
        <v>2.9945991744305574E-3</v>
      </c>
    </row>
    <row r="129" spans="1:13" ht="38.25" x14ac:dyDescent="0.2">
      <c r="A129" s="23" t="s">
        <v>327</v>
      </c>
      <c r="B129" s="7" t="s">
        <v>328</v>
      </c>
      <c r="C129" s="17" t="s">
        <v>24</v>
      </c>
      <c r="D129" s="25" t="s">
        <v>329</v>
      </c>
      <c r="E129" s="18" t="s">
        <v>93</v>
      </c>
      <c r="F129" s="7">
        <v>5</v>
      </c>
      <c r="G129" s="8">
        <v>7.5</v>
      </c>
      <c r="H129" s="8">
        <v>19.68</v>
      </c>
      <c r="I129" s="8">
        <f t="shared" si="51"/>
        <v>27.18</v>
      </c>
      <c r="J129" s="8">
        <f t="shared" si="52"/>
        <v>37.5</v>
      </c>
      <c r="K129" s="8">
        <f t="shared" si="53"/>
        <v>98.4</v>
      </c>
      <c r="L129" s="8">
        <f t="shared" si="54"/>
        <v>135.9</v>
      </c>
      <c r="M129" s="9">
        <f t="shared" si="49"/>
        <v>4.0651885706234414E-4</v>
      </c>
    </row>
    <row r="130" spans="1:13" ht="41.25" customHeight="1" x14ac:dyDescent="0.2">
      <c r="A130" s="23" t="s">
        <v>403</v>
      </c>
      <c r="B130" s="7">
        <v>1</v>
      </c>
      <c r="C130" s="17" t="s">
        <v>404</v>
      </c>
      <c r="D130" s="25" t="s">
        <v>405</v>
      </c>
      <c r="E130" s="19" t="s">
        <v>93</v>
      </c>
      <c r="F130" s="7">
        <v>22</v>
      </c>
      <c r="G130" s="8">
        <v>25.5</v>
      </c>
      <c r="H130" s="8">
        <v>65.3</v>
      </c>
      <c r="I130" s="8">
        <f t="shared" si="51"/>
        <v>90.8</v>
      </c>
      <c r="J130" s="8">
        <f t="shared" si="52"/>
        <v>561</v>
      </c>
      <c r="K130" s="8">
        <f t="shared" si="53"/>
        <v>1436.6</v>
      </c>
      <c r="L130" s="8">
        <f t="shared" si="54"/>
        <v>1997.6</v>
      </c>
      <c r="M130" s="9">
        <f t="shared" si="49"/>
        <v>5.9754383286809319E-3</v>
      </c>
    </row>
    <row r="131" spans="1:13" ht="28.5" customHeight="1" x14ac:dyDescent="0.2">
      <c r="A131" s="22" t="s">
        <v>413</v>
      </c>
      <c r="B131" s="4"/>
      <c r="C131" s="4"/>
      <c r="D131" s="27" t="s">
        <v>419</v>
      </c>
      <c r="E131" s="4"/>
      <c r="F131" s="3"/>
      <c r="G131" s="71"/>
      <c r="H131" s="71"/>
      <c r="I131" s="71"/>
      <c r="J131" s="5">
        <f>SUM(J132:J138)</f>
        <v>259.22469999999998</v>
      </c>
      <c r="K131" s="5">
        <f>SUM(K132:K138)</f>
        <v>861.66999999999985</v>
      </c>
      <c r="L131" s="5">
        <f>SUM(L132:L138)</f>
        <v>1120.8946999999998</v>
      </c>
      <c r="M131" s="66">
        <f>SUM(M132:M138)</f>
        <v>3.3529421069259679E-3</v>
      </c>
    </row>
    <row r="132" spans="1:13" ht="41.25" customHeight="1" x14ac:dyDescent="0.2">
      <c r="A132" s="43" t="s">
        <v>414</v>
      </c>
      <c r="B132" s="44" t="str">
        <f>B23</f>
        <v xml:space="preserve"> 103330 </v>
      </c>
      <c r="C132" s="44" t="str">
        <f t="shared" ref="C132:E132" si="55">C23</f>
        <v>SINAPI</v>
      </c>
      <c r="D132" s="45" t="str">
        <f t="shared" si="55"/>
        <v>ALVENARIA DE VEDAÇÃO DE BLOCOS CERÂMICOS FURADOS NA HORIZONTAL DE 11,5X19X19 CM (ESPESSURA 11,5 CM) E ARGAMASSA DE ASSENTAMENTO COM PREPARO EM BETONEIRA. AF_12/2021</v>
      </c>
      <c r="E132" s="44" t="str">
        <f t="shared" si="55"/>
        <v>m²</v>
      </c>
      <c r="F132" s="44">
        <f>0.2*(0.8+0.8+1.5+1.5)</f>
        <v>0.91999999999999993</v>
      </c>
      <c r="G132" s="72">
        <f t="shared" ref="G132:H132" si="56">G23</f>
        <v>38</v>
      </c>
      <c r="H132" s="72">
        <f t="shared" si="56"/>
        <v>57.63</v>
      </c>
      <c r="I132" s="46">
        <f>H132+G132</f>
        <v>95.63</v>
      </c>
      <c r="J132" s="46">
        <f t="shared" ref="J132" si="57">G132*F132</f>
        <v>34.959999999999994</v>
      </c>
      <c r="K132" s="46">
        <f t="shared" ref="K132" si="58">H132*F132</f>
        <v>53.019599999999997</v>
      </c>
      <c r="L132" s="46">
        <f t="shared" ref="L132" si="59">K132+J132</f>
        <v>87.979599999999991</v>
      </c>
      <c r="M132" s="9">
        <f t="shared" ref="M132:M163" si="60">L132/$L$213</f>
        <v>2.6317414596616783E-4</v>
      </c>
    </row>
    <row r="133" spans="1:13" ht="41.25" customHeight="1" x14ac:dyDescent="0.2">
      <c r="A133" s="43" t="s">
        <v>415</v>
      </c>
      <c r="B133" s="44" t="str">
        <f t="shared" ref="B133:D133" si="61">B24</f>
        <v xml:space="preserve"> 87905 </v>
      </c>
      <c r="C133" s="44" t="str">
        <f t="shared" si="61"/>
        <v>SINAPI</v>
      </c>
      <c r="D133" s="45" t="str">
        <f t="shared" si="61"/>
        <v>CHAPISCO APLICADO EM ALVENARIA (COM PRESENÇA DE VÃOS) E ESTRUTURAS DE CONCRETO DE FACHADA, COM COLHER DE PEDREIRO.  ARGAMASSA TRAÇO 1:3 COM PREPARO EM BETONEIRA 400L. AF_10/2022</v>
      </c>
      <c r="E133" s="44" t="str">
        <f t="shared" ref="E133:H133" si="62">E24</f>
        <v>m²</v>
      </c>
      <c r="F133" s="44">
        <f>F132*2+0.15*(0.8*2+1.5*2)</f>
        <v>2.5299999999999998</v>
      </c>
      <c r="G133" s="72">
        <f t="shared" si="62"/>
        <v>5.17</v>
      </c>
      <c r="H133" s="72">
        <f t="shared" si="62"/>
        <v>3.71</v>
      </c>
      <c r="I133" s="46">
        <f t="shared" ref="I133:I138" si="63">H133+G133</f>
        <v>8.879999999999999</v>
      </c>
      <c r="J133" s="46">
        <f t="shared" ref="J133:J136" si="64">G133*F133</f>
        <v>13.080099999999998</v>
      </c>
      <c r="K133" s="46">
        <f t="shared" ref="K133:K136" si="65">H133*F133</f>
        <v>9.3862999999999985</v>
      </c>
      <c r="L133" s="46">
        <f t="shared" ref="L133:L136" si="66">K133+J133</f>
        <v>22.466399999999997</v>
      </c>
      <c r="M133" s="9">
        <f t="shared" si="60"/>
        <v>6.7203938560010649E-5</v>
      </c>
    </row>
    <row r="134" spans="1:13" ht="33.75" customHeight="1" x14ac:dyDescent="0.2">
      <c r="A134" s="43" t="s">
        <v>416</v>
      </c>
      <c r="B134" s="44" t="str">
        <f t="shared" ref="B134:D134" si="67">B25</f>
        <v xml:space="preserve"> 94224 </v>
      </c>
      <c r="C134" s="44" t="str">
        <f t="shared" si="67"/>
        <v>SINAPI</v>
      </c>
      <c r="D134" s="45" t="str">
        <f t="shared" si="67"/>
        <v>EMBOÇAMENTO COM ARGAMASSA TRAÇO 1:2:9 (CIMENTO, CAL E AREIA). AF_07/2019</v>
      </c>
      <c r="E134" s="44" t="str">
        <f t="shared" ref="E134:H134" si="68">E25</f>
        <v>M</v>
      </c>
      <c r="F134" s="44">
        <f>F133</f>
        <v>2.5299999999999998</v>
      </c>
      <c r="G134" s="72">
        <f t="shared" si="68"/>
        <v>17.96</v>
      </c>
      <c r="H134" s="72">
        <f t="shared" si="68"/>
        <v>10.56</v>
      </c>
      <c r="I134" s="46">
        <f t="shared" si="63"/>
        <v>28.520000000000003</v>
      </c>
      <c r="J134" s="46">
        <f t="shared" si="64"/>
        <v>45.438800000000001</v>
      </c>
      <c r="K134" s="46">
        <f t="shared" si="65"/>
        <v>26.716799999999999</v>
      </c>
      <c r="L134" s="46">
        <f t="shared" si="66"/>
        <v>72.155599999999993</v>
      </c>
      <c r="M134" s="9">
        <f t="shared" si="60"/>
        <v>2.1583967654634052E-4</v>
      </c>
    </row>
    <row r="135" spans="1:13" ht="41.25" customHeight="1" x14ac:dyDescent="0.2">
      <c r="A135" s="43" t="s">
        <v>417</v>
      </c>
      <c r="B135" s="44" t="str">
        <f>B27</f>
        <v xml:space="preserve"> 87269 </v>
      </c>
      <c r="C135" s="44" t="str">
        <f>C27</f>
        <v>SINAPI</v>
      </c>
      <c r="D135" s="45" t="str">
        <f>D27</f>
        <v>REVESTIMENTO CERÂMICO PARA PAREDES INTERNAS COM PLACAS TIPO ESMALTADA EXTRA DE DIMENSÕES 25X35 CM APLICADAS NA ALTURA INTEIRA DAS PAREDES. AF_02/2023_PE</v>
      </c>
      <c r="E135" s="44" t="str">
        <f>E27</f>
        <v>m²</v>
      </c>
      <c r="F135" s="44">
        <f>2.53+1.2</f>
        <v>3.7299999999999995</v>
      </c>
      <c r="G135" s="72">
        <f>G27</f>
        <v>19.46</v>
      </c>
      <c r="H135" s="72">
        <f>H27</f>
        <v>53.01</v>
      </c>
      <c r="I135" s="46">
        <f t="shared" si="63"/>
        <v>72.47</v>
      </c>
      <c r="J135" s="46">
        <f t="shared" si="64"/>
        <v>72.585799999999992</v>
      </c>
      <c r="K135" s="46">
        <f t="shared" si="65"/>
        <v>197.72729999999996</v>
      </c>
      <c r="L135" s="46">
        <f t="shared" si="66"/>
        <v>270.31309999999996</v>
      </c>
      <c r="M135" s="9">
        <f t="shared" si="60"/>
        <v>8.0858993716688096E-4</v>
      </c>
    </row>
    <row r="136" spans="1:13" ht="41.25" customHeight="1" x14ac:dyDescent="0.2">
      <c r="A136" s="43" t="s">
        <v>418</v>
      </c>
      <c r="B136" s="44" t="str">
        <f>B115</f>
        <v xml:space="preserve"> 86914 </v>
      </c>
      <c r="C136" s="44" t="str">
        <f>C115</f>
        <v>SINAPI</v>
      </c>
      <c r="D136" s="45" t="str">
        <f>D115</f>
        <v>TORNEIRA CROMADA 1/2 OU 3/4 PARA TANQUE, PADRÃO MÉDIO - FORNECIMENTO E INSTALAÇÃO. AF_01/2020</v>
      </c>
      <c r="E136" s="44" t="str">
        <f>E115</f>
        <v>UN</v>
      </c>
      <c r="F136" s="44">
        <v>2</v>
      </c>
      <c r="G136" s="72">
        <f>G115</f>
        <v>4.58</v>
      </c>
      <c r="H136" s="72">
        <f>H115</f>
        <v>179.62</v>
      </c>
      <c r="I136" s="46">
        <f t="shared" si="63"/>
        <v>184.20000000000002</v>
      </c>
      <c r="J136" s="46">
        <f t="shared" si="64"/>
        <v>9.16</v>
      </c>
      <c r="K136" s="46">
        <f t="shared" si="65"/>
        <v>359.24</v>
      </c>
      <c r="L136" s="46">
        <f t="shared" si="66"/>
        <v>368.40000000000003</v>
      </c>
      <c r="M136" s="9">
        <f t="shared" si="60"/>
        <v>1.101998137908518E-3</v>
      </c>
    </row>
    <row r="137" spans="1:13" ht="41.25" customHeight="1" x14ac:dyDescent="0.2">
      <c r="A137" s="43" t="s">
        <v>420</v>
      </c>
      <c r="B137" s="44" t="str">
        <f t="shared" ref="B137:E138" si="69">B129</f>
        <v xml:space="preserve"> 89709 </v>
      </c>
      <c r="C137" s="44" t="str">
        <f t="shared" si="69"/>
        <v>SINAPI</v>
      </c>
      <c r="D137" s="45" t="str">
        <f t="shared" si="69"/>
        <v>RALO SIFONADO, PVC, DN 100 X 40 MM, JUNTA SOLDÁVEL, FORNECIDO E INSTALADO EM RAMAL DE DESCARGA OU EM RAMAL DE ESGOTO SANITÁRIO. AF_08/2022</v>
      </c>
      <c r="E137" s="44" t="str">
        <f t="shared" si="69"/>
        <v>UN</v>
      </c>
      <c r="F137" s="44">
        <v>1</v>
      </c>
      <c r="G137" s="72">
        <f>G129</f>
        <v>7.5</v>
      </c>
      <c r="H137" s="72">
        <f>H129</f>
        <v>19.68</v>
      </c>
      <c r="I137" s="46">
        <f t="shared" si="63"/>
        <v>27.18</v>
      </c>
      <c r="J137" s="46">
        <f t="shared" ref="J137:J138" si="70">G137*F137</f>
        <v>7.5</v>
      </c>
      <c r="K137" s="46">
        <f t="shared" ref="K137:K138" si="71">H137*F137</f>
        <v>19.68</v>
      </c>
      <c r="L137" s="46">
        <f t="shared" ref="L137:L138" si="72">K137+J137</f>
        <v>27.18</v>
      </c>
      <c r="M137" s="9">
        <f t="shared" si="60"/>
        <v>8.1303771412468819E-5</v>
      </c>
    </row>
    <row r="138" spans="1:13" ht="41.25" customHeight="1" x14ac:dyDescent="0.2">
      <c r="A138" s="43" t="s">
        <v>421</v>
      </c>
      <c r="B138" s="44">
        <f t="shared" si="69"/>
        <v>1</v>
      </c>
      <c r="C138" s="44" t="str">
        <f t="shared" si="69"/>
        <v>COMP. PRO</v>
      </c>
      <c r="D138" s="45" t="str">
        <f t="shared" si="69"/>
        <v>LIGAÇÃO DE EQUIPAMENTOS INDIVIDUAL DE VASOS, PIAS, CHUVEIROS E RALOS (HIDRAULICA E SANITÁRIA), COM FORNECIMENTO DE CANOS, CURVAS, LUVAS E DEMAIS ITENS PARA A CONECÇÃO A REDE EXISTENTE</v>
      </c>
      <c r="E138" s="44" t="str">
        <f t="shared" si="69"/>
        <v>UN</v>
      </c>
      <c r="F138" s="44">
        <v>3</v>
      </c>
      <c r="G138" s="72">
        <f>G130</f>
        <v>25.5</v>
      </c>
      <c r="H138" s="72">
        <f>H130</f>
        <v>65.3</v>
      </c>
      <c r="I138" s="46">
        <f t="shared" si="63"/>
        <v>90.8</v>
      </c>
      <c r="J138" s="46">
        <f t="shared" si="70"/>
        <v>76.5</v>
      </c>
      <c r="K138" s="46">
        <f t="shared" si="71"/>
        <v>195.89999999999998</v>
      </c>
      <c r="L138" s="46">
        <f t="shared" si="72"/>
        <v>272.39999999999998</v>
      </c>
      <c r="M138" s="9">
        <f t="shared" si="60"/>
        <v>8.1483249936558158E-4</v>
      </c>
    </row>
    <row r="139" spans="1:13" x14ac:dyDescent="0.2">
      <c r="A139" s="22" t="s">
        <v>330</v>
      </c>
      <c r="B139" s="4"/>
      <c r="C139" s="4"/>
      <c r="D139" s="27" t="s">
        <v>503</v>
      </c>
      <c r="E139" s="4"/>
      <c r="F139" s="3"/>
      <c r="G139" s="71"/>
      <c r="H139" s="71"/>
      <c r="I139" s="71"/>
      <c r="J139" s="5">
        <f>J140+J143+J153+J165+J176+J184+J207</f>
        <v>13387.490600000001</v>
      </c>
      <c r="K139" s="5">
        <f>K140+K143+K153+K165+K176+K184+K207</f>
        <v>40769.552800000005</v>
      </c>
      <c r="L139" s="5">
        <f t="shared" ref="L139" si="73">L140+L143+L153+L165+L176+L184+L207</f>
        <v>54157.043400000002</v>
      </c>
      <c r="M139" s="6">
        <f t="shared" si="60"/>
        <v>0.16200043697456784</v>
      </c>
    </row>
    <row r="140" spans="1:13" x14ac:dyDescent="0.2">
      <c r="A140" s="22" t="s">
        <v>331</v>
      </c>
      <c r="B140" s="4"/>
      <c r="C140" s="4"/>
      <c r="D140" s="27" t="s">
        <v>479</v>
      </c>
      <c r="E140" s="4"/>
      <c r="F140" s="3"/>
      <c r="G140" s="71"/>
      <c r="H140" s="71"/>
      <c r="I140" s="71"/>
      <c r="J140" s="5">
        <f>SUM(J141:J142)</f>
        <v>611.65000000000009</v>
      </c>
      <c r="K140" s="5">
        <f>SUM(K141:K142)</f>
        <v>656.24999999999989</v>
      </c>
      <c r="L140" s="5">
        <f>SUM(L141:L142)</f>
        <v>1267.8999999999999</v>
      </c>
      <c r="M140" s="6">
        <f t="shared" si="60"/>
        <v>3.7926803448811337E-3</v>
      </c>
    </row>
    <row r="141" spans="1:13" ht="20.25" customHeight="1" x14ac:dyDescent="0.2">
      <c r="A141" s="23" t="s">
        <v>332</v>
      </c>
      <c r="B141" s="7" t="s">
        <v>333</v>
      </c>
      <c r="C141" s="17" t="s">
        <v>24</v>
      </c>
      <c r="D141" s="25" t="s">
        <v>334</v>
      </c>
      <c r="E141" s="18" t="s">
        <v>34</v>
      </c>
      <c r="F141" s="7">
        <v>35</v>
      </c>
      <c r="G141" s="8">
        <v>2.4700000000000002</v>
      </c>
      <c r="H141" s="8">
        <v>0.99</v>
      </c>
      <c r="I141" s="8">
        <f t="shared" ref="I141:I142" si="74">H141+G141</f>
        <v>3.46</v>
      </c>
      <c r="J141" s="8">
        <f t="shared" ref="J141:J142" si="75">G141*F141</f>
        <v>86.45</v>
      </c>
      <c r="K141" s="8">
        <f t="shared" ref="K141:K142" si="76">H141*F141</f>
        <v>34.65</v>
      </c>
      <c r="L141" s="8">
        <f t="shared" ref="L141:L142" si="77">K141+J141</f>
        <v>121.1</v>
      </c>
      <c r="M141" s="9">
        <f t="shared" si="60"/>
        <v>3.6224748778697477E-4</v>
      </c>
    </row>
    <row r="142" spans="1:13" ht="25.5" x14ac:dyDescent="0.2">
      <c r="A142" s="23" t="s">
        <v>335</v>
      </c>
      <c r="B142" s="7" t="s">
        <v>336</v>
      </c>
      <c r="C142" s="17" t="s">
        <v>24</v>
      </c>
      <c r="D142" s="25" t="s">
        <v>337</v>
      </c>
      <c r="E142" s="18" t="s">
        <v>41</v>
      </c>
      <c r="F142" s="7">
        <v>20</v>
      </c>
      <c r="G142" s="8">
        <v>26.26</v>
      </c>
      <c r="H142" s="8">
        <v>31.08</v>
      </c>
      <c r="I142" s="8">
        <f t="shared" si="74"/>
        <v>57.34</v>
      </c>
      <c r="J142" s="8">
        <f t="shared" si="75"/>
        <v>525.20000000000005</v>
      </c>
      <c r="K142" s="8">
        <f t="shared" si="76"/>
        <v>621.59999999999991</v>
      </c>
      <c r="L142" s="8">
        <f t="shared" si="77"/>
        <v>1146.8</v>
      </c>
      <c r="M142" s="9">
        <f t="shared" si="60"/>
        <v>3.4304328570941593E-3</v>
      </c>
    </row>
    <row r="143" spans="1:13" x14ac:dyDescent="0.2">
      <c r="A143" s="22" t="s">
        <v>338</v>
      </c>
      <c r="B143" s="4"/>
      <c r="C143" s="4"/>
      <c r="D143" s="27" t="s">
        <v>339</v>
      </c>
      <c r="E143" s="4"/>
      <c r="F143" s="3"/>
      <c r="G143" s="71"/>
      <c r="H143" s="71"/>
      <c r="I143" s="71"/>
      <c r="J143" s="5">
        <f>J144+J148</f>
        <v>941.93700000000001</v>
      </c>
      <c r="K143" s="5">
        <f t="shared" ref="K143" si="78">K144+K148</f>
        <v>4086.8667999999998</v>
      </c>
      <c r="L143" s="5">
        <f>L144+L148</f>
        <v>5028.8037999999997</v>
      </c>
      <c r="M143" s="6">
        <f t="shared" si="60"/>
        <v>1.5042704732647336E-2</v>
      </c>
    </row>
    <row r="144" spans="1:13" x14ac:dyDescent="0.2">
      <c r="A144" s="22" t="s">
        <v>340</v>
      </c>
      <c r="B144" s="4"/>
      <c r="C144" s="4"/>
      <c r="D144" s="27" t="s">
        <v>341</v>
      </c>
      <c r="E144" s="4"/>
      <c r="F144" s="3"/>
      <c r="G144" s="71"/>
      <c r="H144" s="71"/>
      <c r="I144" s="71"/>
      <c r="J144" s="5">
        <f t="shared" ref="J144:K144" si="79">SUM(J145:J147)</f>
        <v>463.39499999999998</v>
      </c>
      <c r="K144" s="5">
        <f t="shared" si="79"/>
        <v>1543.3509999999999</v>
      </c>
      <c r="L144" s="5">
        <f>SUM(L145:L147)</f>
        <v>2006.7460000000001</v>
      </c>
      <c r="M144" s="6">
        <f t="shared" si="60"/>
        <v>6.0027968383696163E-3</v>
      </c>
    </row>
    <row r="145" spans="1:13" ht="25.5" x14ac:dyDescent="0.2">
      <c r="A145" s="23" t="s">
        <v>342</v>
      </c>
      <c r="B145" s="7" t="s">
        <v>177</v>
      </c>
      <c r="C145" s="17" t="s">
        <v>24</v>
      </c>
      <c r="D145" s="25" t="s">
        <v>178</v>
      </c>
      <c r="E145" s="18" t="s">
        <v>22</v>
      </c>
      <c r="F145" s="7">
        <v>1.3</v>
      </c>
      <c r="G145" s="8">
        <v>1.59</v>
      </c>
      <c r="H145" s="8">
        <v>3.79</v>
      </c>
      <c r="I145" s="8">
        <f t="shared" ref="I145:I147" si="80">H145+G145</f>
        <v>5.38</v>
      </c>
      <c r="J145" s="8">
        <f t="shared" ref="J145:J147" si="81">G145*F145</f>
        <v>2.0670000000000002</v>
      </c>
      <c r="K145" s="8">
        <f t="shared" ref="K145:K147" si="82">H145*F145</f>
        <v>4.9270000000000005</v>
      </c>
      <c r="L145" s="8">
        <f t="shared" ref="L145:L147" si="83">K145+J145</f>
        <v>6.9940000000000007</v>
      </c>
      <c r="M145" s="9">
        <f t="shared" si="60"/>
        <v>2.0921213291346836E-5</v>
      </c>
    </row>
    <row r="146" spans="1:13" ht="38.25" x14ac:dyDescent="0.2">
      <c r="A146" s="23" t="s">
        <v>342</v>
      </c>
      <c r="B146" s="7" t="s">
        <v>180</v>
      </c>
      <c r="C146" s="17" t="s">
        <v>24</v>
      </c>
      <c r="D146" s="25" t="s">
        <v>181</v>
      </c>
      <c r="E146" s="18" t="s">
        <v>22</v>
      </c>
      <c r="F146" s="7">
        <f>0.4*0.5*0.5*6</f>
        <v>0.60000000000000009</v>
      </c>
      <c r="G146" s="8">
        <v>84.38</v>
      </c>
      <c r="H146" s="8">
        <v>634.29</v>
      </c>
      <c r="I146" s="8">
        <f t="shared" si="80"/>
        <v>718.67</v>
      </c>
      <c r="J146" s="8">
        <f t="shared" si="81"/>
        <v>50.628000000000007</v>
      </c>
      <c r="K146" s="8">
        <f t="shared" si="82"/>
        <v>380.57400000000001</v>
      </c>
      <c r="L146" s="8">
        <f t="shared" si="83"/>
        <v>431.202</v>
      </c>
      <c r="M146" s="9">
        <f t="shared" si="60"/>
        <v>1.2898583090728249E-3</v>
      </c>
    </row>
    <row r="147" spans="1:13" ht="38.25" x14ac:dyDescent="0.2">
      <c r="A147" s="23" t="s">
        <v>343</v>
      </c>
      <c r="B147" s="7" t="s">
        <v>344</v>
      </c>
      <c r="C147" s="17" t="s">
        <v>24</v>
      </c>
      <c r="D147" s="25" t="s">
        <v>345</v>
      </c>
      <c r="E147" s="18" t="s">
        <v>41</v>
      </c>
      <c r="F147" s="7">
        <v>15</v>
      </c>
      <c r="G147" s="8">
        <v>27.38</v>
      </c>
      <c r="H147" s="8">
        <v>77.19</v>
      </c>
      <c r="I147" s="8">
        <f t="shared" si="80"/>
        <v>104.57</v>
      </c>
      <c r="J147" s="8">
        <f t="shared" si="81"/>
        <v>410.7</v>
      </c>
      <c r="K147" s="8">
        <f t="shared" si="82"/>
        <v>1157.8499999999999</v>
      </c>
      <c r="L147" s="8">
        <f t="shared" si="83"/>
        <v>1568.55</v>
      </c>
      <c r="M147" s="9">
        <f t="shared" si="60"/>
        <v>4.6920173160054446E-3</v>
      </c>
    </row>
    <row r="148" spans="1:13" x14ac:dyDescent="0.2">
      <c r="A148" s="22" t="s">
        <v>346</v>
      </c>
      <c r="B148" s="4"/>
      <c r="C148" s="4"/>
      <c r="D148" s="27" t="s">
        <v>347</v>
      </c>
      <c r="E148" s="4"/>
      <c r="F148" s="3"/>
      <c r="G148" s="71"/>
      <c r="H148" s="71"/>
      <c r="I148" s="71"/>
      <c r="J148" s="5">
        <f t="shared" ref="J148:K148" si="84">SUM(J149:J152)</f>
        <v>478.54200000000003</v>
      </c>
      <c r="K148" s="5">
        <f t="shared" si="84"/>
        <v>2543.5158000000001</v>
      </c>
      <c r="L148" s="5">
        <f>SUM(L149:L152)</f>
        <v>3022.0578</v>
      </c>
      <c r="M148" s="6">
        <f t="shared" si="60"/>
        <v>9.0399078942777211E-3</v>
      </c>
    </row>
    <row r="149" spans="1:13" ht="38.25" x14ac:dyDescent="0.2">
      <c r="A149" s="23" t="s">
        <v>348</v>
      </c>
      <c r="B149" s="7" t="s">
        <v>184</v>
      </c>
      <c r="C149" s="17" t="s">
        <v>24</v>
      </c>
      <c r="D149" s="25" t="s">
        <v>185</v>
      </c>
      <c r="E149" s="18" t="s">
        <v>186</v>
      </c>
      <c r="F149" s="7">
        <v>36.520000000000003</v>
      </c>
      <c r="G149" s="8">
        <v>1.1499999999999999</v>
      </c>
      <c r="H149" s="8">
        <v>13.67</v>
      </c>
      <c r="I149" s="8">
        <f t="shared" ref="I149:I152" si="85">H149+G149</f>
        <v>14.82</v>
      </c>
      <c r="J149" s="8">
        <f t="shared" ref="J149:J152" si="86">G149*F149</f>
        <v>41.997999999999998</v>
      </c>
      <c r="K149" s="8">
        <f t="shared" ref="K149:K152" si="87">H149*F149</f>
        <v>499.22840000000002</v>
      </c>
      <c r="L149" s="8">
        <f t="shared" ref="L149:L152" si="88">K149+J149</f>
        <v>541.22640000000001</v>
      </c>
      <c r="M149" s="9">
        <f t="shared" si="60"/>
        <v>1.6189752578364025E-3</v>
      </c>
    </row>
    <row r="150" spans="1:13" ht="38.25" x14ac:dyDescent="0.2">
      <c r="A150" s="23" t="s">
        <v>349</v>
      </c>
      <c r="B150" s="7" t="s">
        <v>180</v>
      </c>
      <c r="C150" s="17" t="s">
        <v>24</v>
      </c>
      <c r="D150" s="25" t="s">
        <v>181</v>
      </c>
      <c r="E150" s="18" t="s">
        <v>22</v>
      </c>
      <c r="F150" s="7">
        <v>1.04</v>
      </c>
      <c r="G150" s="8">
        <v>84.38</v>
      </c>
      <c r="H150" s="8">
        <v>634.29</v>
      </c>
      <c r="I150" s="8">
        <f t="shared" si="85"/>
        <v>718.67</v>
      </c>
      <c r="J150" s="8">
        <f t="shared" si="86"/>
        <v>87.755200000000002</v>
      </c>
      <c r="K150" s="8">
        <f t="shared" si="87"/>
        <v>659.66160000000002</v>
      </c>
      <c r="L150" s="8">
        <f t="shared" si="88"/>
        <v>747.41679999999997</v>
      </c>
      <c r="M150" s="9">
        <f t="shared" si="60"/>
        <v>2.2357544023928967E-3</v>
      </c>
    </row>
    <row r="151" spans="1:13" ht="25.5" x14ac:dyDescent="0.2">
      <c r="A151" s="23" t="s">
        <v>350</v>
      </c>
      <c r="B151" s="7" t="s">
        <v>191</v>
      </c>
      <c r="C151" s="17" t="s">
        <v>24</v>
      </c>
      <c r="D151" s="25" t="s">
        <v>192</v>
      </c>
      <c r="E151" s="18" t="s">
        <v>34</v>
      </c>
      <c r="F151" s="7">
        <v>10.5</v>
      </c>
      <c r="G151" s="8">
        <v>28.42</v>
      </c>
      <c r="H151" s="8">
        <v>115.67</v>
      </c>
      <c r="I151" s="8">
        <f t="shared" si="85"/>
        <v>144.09</v>
      </c>
      <c r="J151" s="8">
        <f t="shared" si="86"/>
        <v>298.41000000000003</v>
      </c>
      <c r="K151" s="8">
        <f t="shared" si="87"/>
        <v>1214.5350000000001</v>
      </c>
      <c r="L151" s="8">
        <f t="shared" si="88"/>
        <v>1512.9450000000002</v>
      </c>
      <c r="M151" s="9">
        <f t="shared" si="60"/>
        <v>4.5256855938056537E-3</v>
      </c>
    </row>
    <row r="152" spans="1:13" ht="38.25" x14ac:dyDescent="0.2">
      <c r="A152" s="23" t="s">
        <v>351</v>
      </c>
      <c r="B152" s="7" t="s">
        <v>188</v>
      </c>
      <c r="C152" s="17" t="s">
        <v>24</v>
      </c>
      <c r="D152" s="25" t="s">
        <v>189</v>
      </c>
      <c r="E152" s="18" t="s">
        <v>186</v>
      </c>
      <c r="F152" s="7">
        <v>12.47</v>
      </c>
      <c r="G152" s="8">
        <v>4.04</v>
      </c>
      <c r="H152" s="8">
        <v>13.64</v>
      </c>
      <c r="I152" s="8">
        <f t="shared" si="85"/>
        <v>17.68</v>
      </c>
      <c r="J152" s="8">
        <f t="shared" si="86"/>
        <v>50.378800000000005</v>
      </c>
      <c r="K152" s="8">
        <f t="shared" si="87"/>
        <v>170.09080000000003</v>
      </c>
      <c r="L152" s="8">
        <f t="shared" si="88"/>
        <v>220.46960000000004</v>
      </c>
      <c r="M152" s="9">
        <f t="shared" si="60"/>
        <v>6.5949264024276822E-4</v>
      </c>
    </row>
    <row r="153" spans="1:13" x14ac:dyDescent="0.2">
      <c r="A153" s="22" t="s">
        <v>352</v>
      </c>
      <c r="B153" s="4"/>
      <c r="C153" s="4"/>
      <c r="D153" s="27" t="s">
        <v>353</v>
      </c>
      <c r="E153" s="4"/>
      <c r="F153" s="3"/>
      <c r="G153" s="71"/>
      <c r="H153" s="71"/>
      <c r="I153" s="71"/>
      <c r="J153" s="5">
        <f>J154+J159</f>
        <v>1524.2165000000002</v>
      </c>
      <c r="K153" s="5">
        <f>K154+K159</f>
        <v>8159.7455</v>
      </c>
      <c r="L153" s="5">
        <f>L154+L159</f>
        <v>9683.9619999999995</v>
      </c>
      <c r="M153" s="6">
        <f t="shared" si="60"/>
        <v>2.8967720118286768E-2</v>
      </c>
    </row>
    <row r="154" spans="1:13" x14ac:dyDescent="0.2">
      <c r="A154" s="22" t="s">
        <v>354</v>
      </c>
      <c r="B154" s="4"/>
      <c r="C154" s="4"/>
      <c r="D154" s="27" t="s">
        <v>355</v>
      </c>
      <c r="E154" s="4"/>
      <c r="F154" s="3"/>
      <c r="G154" s="71"/>
      <c r="H154" s="71"/>
      <c r="I154" s="71"/>
      <c r="J154" s="5">
        <f t="shared" ref="J154:K154" si="89">SUM(J155:J158)</f>
        <v>377.33130000000006</v>
      </c>
      <c r="K154" s="5">
        <f t="shared" si="89"/>
        <v>2828.1702999999998</v>
      </c>
      <c r="L154" s="5">
        <f>SUM(L155:L158)</f>
        <v>3205.5015999999996</v>
      </c>
      <c r="M154" s="6">
        <f t="shared" si="60"/>
        <v>9.588644935566706E-3</v>
      </c>
    </row>
    <row r="155" spans="1:13" ht="38.25" x14ac:dyDescent="0.2">
      <c r="A155" s="23" t="s">
        <v>356</v>
      </c>
      <c r="B155" s="7" t="s">
        <v>180</v>
      </c>
      <c r="C155" s="17" t="s">
        <v>24</v>
      </c>
      <c r="D155" s="25" t="s">
        <v>181</v>
      </c>
      <c r="E155" s="18" t="s">
        <v>22</v>
      </c>
      <c r="F155" s="7">
        <v>0.9</v>
      </c>
      <c r="G155" s="8">
        <v>84.38</v>
      </c>
      <c r="H155" s="8">
        <v>634.29</v>
      </c>
      <c r="I155" s="8">
        <f t="shared" ref="I155:I158" si="90">H155+G155</f>
        <v>718.67</v>
      </c>
      <c r="J155" s="8">
        <f t="shared" ref="J155:J158" si="91">G155*F155</f>
        <v>75.941999999999993</v>
      </c>
      <c r="K155" s="8">
        <f t="shared" ref="K155:K158" si="92">H155*F155</f>
        <v>570.86099999999999</v>
      </c>
      <c r="L155" s="8">
        <f t="shared" ref="L155:L158" si="93">K155+J155</f>
        <v>646.803</v>
      </c>
      <c r="M155" s="9">
        <f t="shared" si="60"/>
        <v>1.9347874636092375E-3</v>
      </c>
    </row>
    <row r="156" spans="1:13" ht="38.25" x14ac:dyDescent="0.2">
      <c r="A156" s="23" t="s">
        <v>357</v>
      </c>
      <c r="B156" s="7" t="s">
        <v>184</v>
      </c>
      <c r="C156" s="17" t="s">
        <v>24</v>
      </c>
      <c r="D156" s="25" t="s">
        <v>185</v>
      </c>
      <c r="E156" s="18" t="s">
        <v>186</v>
      </c>
      <c r="F156" s="7">
        <v>65.650000000000006</v>
      </c>
      <c r="G156" s="8">
        <v>1.1499999999999999</v>
      </c>
      <c r="H156" s="8">
        <v>13.67</v>
      </c>
      <c r="I156" s="8">
        <f t="shared" si="90"/>
        <v>14.82</v>
      </c>
      <c r="J156" s="8">
        <f t="shared" si="91"/>
        <v>75.497500000000002</v>
      </c>
      <c r="K156" s="8">
        <f t="shared" si="92"/>
        <v>897.43550000000005</v>
      </c>
      <c r="L156" s="8">
        <f t="shared" si="93"/>
        <v>972.93299999999999</v>
      </c>
      <c r="M156" s="9">
        <f t="shared" si="60"/>
        <v>2.9103429812968188E-3</v>
      </c>
    </row>
    <row r="157" spans="1:13" ht="38.25" x14ac:dyDescent="0.2">
      <c r="A157" s="23" t="s">
        <v>358</v>
      </c>
      <c r="B157" s="7" t="s">
        <v>188</v>
      </c>
      <c r="C157" s="17" t="s">
        <v>24</v>
      </c>
      <c r="D157" s="25" t="s">
        <v>189</v>
      </c>
      <c r="E157" s="18" t="s">
        <v>186</v>
      </c>
      <c r="F157" s="7">
        <v>13.42</v>
      </c>
      <c r="G157" s="8">
        <v>4.04</v>
      </c>
      <c r="H157" s="8">
        <v>13.64</v>
      </c>
      <c r="I157" s="8">
        <f t="shared" si="90"/>
        <v>17.68</v>
      </c>
      <c r="J157" s="8">
        <f t="shared" si="91"/>
        <v>54.216799999999999</v>
      </c>
      <c r="K157" s="8">
        <f t="shared" si="92"/>
        <v>183.0488</v>
      </c>
      <c r="L157" s="8">
        <f t="shared" si="93"/>
        <v>237.26560000000001</v>
      </c>
      <c r="M157" s="9">
        <f t="shared" si="60"/>
        <v>7.0973466175284269E-4</v>
      </c>
    </row>
    <row r="158" spans="1:13" ht="25.5" x14ac:dyDescent="0.2">
      <c r="A158" s="23" t="s">
        <v>359</v>
      </c>
      <c r="B158" s="7" t="s">
        <v>360</v>
      </c>
      <c r="C158" s="17" t="s">
        <v>24</v>
      </c>
      <c r="D158" s="25" t="s">
        <v>361</v>
      </c>
      <c r="E158" s="18" t="s">
        <v>34</v>
      </c>
      <c r="F158" s="7">
        <v>7.5</v>
      </c>
      <c r="G158" s="8">
        <v>22.89</v>
      </c>
      <c r="H158" s="8">
        <v>156.91</v>
      </c>
      <c r="I158" s="8">
        <f t="shared" si="90"/>
        <v>179.8</v>
      </c>
      <c r="J158" s="8">
        <f t="shared" si="91"/>
        <v>171.67500000000001</v>
      </c>
      <c r="K158" s="8">
        <f t="shared" si="92"/>
        <v>1176.825</v>
      </c>
      <c r="L158" s="8">
        <f t="shared" si="93"/>
        <v>1348.5</v>
      </c>
      <c r="M158" s="9">
        <f t="shared" si="60"/>
        <v>4.0337798289078073E-3</v>
      </c>
    </row>
    <row r="159" spans="1:13" x14ac:dyDescent="0.2">
      <c r="A159" s="22" t="s">
        <v>362</v>
      </c>
      <c r="B159" s="4"/>
      <c r="C159" s="4"/>
      <c r="D159" s="27" t="s">
        <v>363</v>
      </c>
      <c r="E159" s="4"/>
      <c r="F159" s="3"/>
      <c r="G159" s="71"/>
      <c r="H159" s="71"/>
      <c r="I159" s="71"/>
      <c r="J159" s="5">
        <f t="shared" ref="J159:K159" si="94">SUM(J160:J164)</f>
        <v>1146.8852000000002</v>
      </c>
      <c r="K159" s="5">
        <f t="shared" si="94"/>
        <v>5331.5752000000002</v>
      </c>
      <c r="L159" s="5">
        <f>SUM(L160:L164)</f>
        <v>6478.4603999999999</v>
      </c>
      <c r="M159" s="6">
        <f t="shared" si="60"/>
        <v>1.9379075182720064E-2</v>
      </c>
    </row>
    <row r="160" spans="1:13" ht="38.25" x14ac:dyDescent="0.2">
      <c r="A160" s="23" t="s">
        <v>364</v>
      </c>
      <c r="B160" s="7" t="s">
        <v>365</v>
      </c>
      <c r="C160" s="17" t="s">
        <v>24</v>
      </c>
      <c r="D160" s="25" t="s">
        <v>366</v>
      </c>
      <c r="E160" s="18" t="s">
        <v>34</v>
      </c>
      <c r="F160" s="7">
        <v>15</v>
      </c>
      <c r="G160" s="8">
        <v>27.39</v>
      </c>
      <c r="H160" s="8">
        <v>169.66</v>
      </c>
      <c r="I160" s="8">
        <f t="shared" ref="I160:I164" si="95">H160+G160</f>
        <v>197.05</v>
      </c>
      <c r="J160" s="8">
        <f t="shared" ref="J160:J164" si="96">G160*F160</f>
        <v>410.85</v>
      </c>
      <c r="K160" s="8">
        <f t="shared" ref="K160:K164" si="97">H160*F160</f>
        <v>2544.9</v>
      </c>
      <c r="L160" s="8">
        <f t="shared" ref="L160:L164" si="98">K160+J160</f>
        <v>2955.75</v>
      </c>
      <c r="M160" s="9">
        <f t="shared" si="60"/>
        <v>8.8415607929508734E-3</v>
      </c>
    </row>
    <row r="161" spans="1:13" ht="25.5" x14ac:dyDescent="0.2">
      <c r="A161" s="23" t="s">
        <v>367</v>
      </c>
      <c r="B161" s="7" t="s">
        <v>368</v>
      </c>
      <c r="C161" s="17" t="s">
        <v>20</v>
      </c>
      <c r="D161" s="25" t="s">
        <v>369</v>
      </c>
      <c r="E161" s="18" t="s">
        <v>34</v>
      </c>
      <c r="F161" s="7">
        <v>2.56</v>
      </c>
      <c r="G161" s="8">
        <v>125.47</v>
      </c>
      <c r="H161" s="8">
        <v>230.47</v>
      </c>
      <c r="I161" s="8">
        <f t="shared" si="95"/>
        <v>355.94</v>
      </c>
      <c r="J161" s="8">
        <f t="shared" si="96"/>
        <v>321.20319999999998</v>
      </c>
      <c r="K161" s="8">
        <f t="shared" si="97"/>
        <v>590.00319999999999</v>
      </c>
      <c r="L161" s="8">
        <f t="shared" si="98"/>
        <v>911.20640000000003</v>
      </c>
      <c r="M161" s="9">
        <f t="shared" si="60"/>
        <v>2.7256996635459394E-3</v>
      </c>
    </row>
    <row r="162" spans="1:13" ht="38.25" x14ac:dyDescent="0.2">
      <c r="A162" s="23" t="s">
        <v>370</v>
      </c>
      <c r="B162" s="7" t="s">
        <v>184</v>
      </c>
      <c r="C162" s="17" t="s">
        <v>24</v>
      </c>
      <c r="D162" s="25" t="s">
        <v>185</v>
      </c>
      <c r="E162" s="18" t="s">
        <v>186</v>
      </c>
      <c r="F162" s="7">
        <v>62</v>
      </c>
      <c r="G162" s="8">
        <v>1.1499999999999999</v>
      </c>
      <c r="H162" s="8">
        <v>13.67</v>
      </c>
      <c r="I162" s="8">
        <f t="shared" si="95"/>
        <v>14.82</v>
      </c>
      <c r="J162" s="8">
        <f t="shared" si="96"/>
        <v>71.3</v>
      </c>
      <c r="K162" s="8">
        <f t="shared" si="97"/>
        <v>847.54</v>
      </c>
      <c r="L162" s="8">
        <f t="shared" si="98"/>
        <v>918.83999999999992</v>
      </c>
      <c r="M162" s="9">
        <f t="shared" si="60"/>
        <v>2.7485341179040784E-3</v>
      </c>
    </row>
    <row r="163" spans="1:13" ht="38.25" x14ac:dyDescent="0.2">
      <c r="A163" s="23" t="s">
        <v>371</v>
      </c>
      <c r="B163" s="7" t="s">
        <v>188</v>
      </c>
      <c r="C163" s="17" t="s">
        <v>24</v>
      </c>
      <c r="D163" s="25" t="s">
        <v>189</v>
      </c>
      <c r="E163" s="18" t="s">
        <v>186</v>
      </c>
      <c r="F163" s="7">
        <v>17.5</v>
      </c>
      <c r="G163" s="8">
        <v>4.04</v>
      </c>
      <c r="H163" s="8">
        <v>13.64</v>
      </c>
      <c r="I163" s="8">
        <f t="shared" si="95"/>
        <v>17.68</v>
      </c>
      <c r="J163" s="8">
        <f t="shared" si="96"/>
        <v>70.7</v>
      </c>
      <c r="K163" s="8">
        <f t="shared" si="97"/>
        <v>238.70000000000002</v>
      </c>
      <c r="L163" s="8">
        <f t="shared" si="98"/>
        <v>309.40000000000003</v>
      </c>
      <c r="M163" s="9">
        <f t="shared" si="60"/>
        <v>9.2551092255400503E-4</v>
      </c>
    </row>
    <row r="164" spans="1:13" ht="25.5" x14ac:dyDescent="0.2">
      <c r="A164" s="23" t="s">
        <v>372</v>
      </c>
      <c r="B164" s="7" t="s">
        <v>191</v>
      </c>
      <c r="C164" s="17" t="s">
        <v>24</v>
      </c>
      <c r="D164" s="25" t="s">
        <v>192</v>
      </c>
      <c r="E164" s="18" t="s">
        <v>34</v>
      </c>
      <c r="F164" s="7">
        <v>9.6</v>
      </c>
      <c r="G164" s="8">
        <v>28.42</v>
      </c>
      <c r="H164" s="8">
        <v>115.67</v>
      </c>
      <c r="I164" s="8">
        <f t="shared" si="95"/>
        <v>144.09</v>
      </c>
      <c r="J164" s="8">
        <f t="shared" si="96"/>
        <v>272.83199999999999</v>
      </c>
      <c r="K164" s="8">
        <f t="shared" si="97"/>
        <v>1110.432</v>
      </c>
      <c r="L164" s="8">
        <f t="shared" si="98"/>
        <v>1383.2640000000001</v>
      </c>
      <c r="M164" s="9">
        <f t="shared" ref="M164:M189" si="99">L164/$L$213</f>
        <v>4.137769685765169E-3</v>
      </c>
    </row>
    <row r="165" spans="1:13" x14ac:dyDescent="0.2">
      <c r="A165" s="22" t="s">
        <v>373</v>
      </c>
      <c r="B165" s="4"/>
      <c r="C165" s="4"/>
      <c r="D165" s="27" t="s">
        <v>374</v>
      </c>
      <c r="E165" s="4"/>
      <c r="F165" s="3"/>
      <c r="G165" s="71"/>
      <c r="H165" s="71"/>
      <c r="I165" s="71"/>
      <c r="J165" s="5">
        <f t="shared" ref="J165:K165" si="100">SUM(J166:J175)</f>
        <v>5497.034200000001</v>
      </c>
      <c r="K165" s="5">
        <f t="shared" si="100"/>
        <v>11167.9074</v>
      </c>
      <c r="L165" s="5">
        <f>SUM(L166:L175)</f>
        <v>16664.941599999998</v>
      </c>
      <c r="M165" s="6">
        <f t="shared" si="99"/>
        <v>4.984998537338272E-2</v>
      </c>
    </row>
    <row r="166" spans="1:13" ht="38.25" x14ac:dyDescent="0.2">
      <c r="A166" s="23" t="s">
        <v>375</v>
      </c>
      <c r="B166" s="7" t="s">
        <v>52</v>
      </c>
      <c r="C166" s="17" t="s">
        <v>24</v>
      </c>
      <c r="D166" s="25" t="s">
        <v>53</v>
      </c>
      <c r="E166" s="18" t="s">
        <v>34</v>
      </c>
      <c r="F166" s="7">
        <v>38.4</v>
      </c>
      <c r="G166" s="8">
        <v>38</v>
      </c>
      <c r="H166" s="8">
        <v>57.63</v>
      </c>
      <c r="I166" s="8">
        <f t="shared" ref="I166:I175" si="101">H166+G166</f>
        <v>95.63</v>
      </c>
      <c r="J166" s="8">
        <f t="shared" ref="J166:J175" si="102">G166*F166</f>
        <v>1459.2</v>
      </c>
      <c r="K166" s="8">
        <f t="shared" ref="K166:K175" si="103">H166*F166</f>
        <v>2212.9920000000002</v>
      </c>
      <c r="L166" s="8">
        <f t="shared" ref="L166:L175" si="104">K166+J166</f>
        <v>3672.192</v>
      </c>
      <c r="M166" s="9">
        <f t="shared" si="99"/>
        <v>1.0984660005544397E-2</v>
      </c>
    </row>
    <row r="167" spans="1:13" ht="51" x14ac:dyDescent="0.2">
      <c r="A167" s="23" t="s">
        <v>376</v>
      </c>
      <c r="B167" s="7" t="s">
        <v>55</v>
      </c>
      <c r="C167" s="17" t="s">
        <v>24</v>
      </c>
      <c r="D167" s="25" t="s">
        <v>56</v>
      </c>
      <c r="E167" s="18" t="s">
        <v>34</v>
      </c>
      <c r="F167" s="7">
        <f>82.5+15</f>
        <v>97.5</v>
      </c>
      <c r="G167" s="8">
        <v>5.17</v>
      </c>
      <c r="H167" s="8">
        <v>3.71</v>
      </c>
      <c r="I167" s="8">
        <f t="shared" si="101"/>
        <v>8.879999999999999</v>
      </c>
      <c r="J167" s="8">
        <f t="shared" si="102"/>
        <v>504.07499999999999</v>
      </c>
      <c r="K167" s="8">
        <f t="shared" si="103"/>
        <v>361.72500000000002</v>
      </c>
      <c r="L167" s="8">
        <f t="shared" si="104"/>
        <v>865.8</v>
      </c>
      <c r="M167" s="9">
        <f t="shared" si="99"/>
        <v>2.5898751026091063E-3</v>
      </c>
    </row>
    <row r="168" spans="1:13" ht="25.5" x14ac:dyDescent="0.2">
      <c r="A168" s="23" t="s">
        <v>377</v>
      </c>
      <c r="B168" s="7" t="s">
        <v>58</v>
      </c>
      <c r="C168" s="17" t="s">
        <v>24</v>
      </c>
      <c r="D168" s="25" t="s">
        <v>59</v>
      </c>
      <c r="E168" s="18" t="s">
        <v>41</v>
      </c>
      <c r="F168" s="7">
        <f>82.5+15</f>
        <v>97.5</v>
      </c>
      <c r="G168" s="8">
        <v>17.96</v>
      </c>
      <c r="H168" s="8">
        <v>10.56</v>
      </c>
      <c r="I168" s="8">
        <f t="shared" si="101"/>
        <v>28.520000000000003</v>
      </c>
      <c r="J168" s="8">
        <f t="shared" si="102"/>
        <v>1751.1000000000001</v>
      </c>
      <c r="K168" s="8">
        <f t="shared" si="103"/>
        <v>1029.6000000000001</v>
      </c>
      <c r="L168" s="8">
        <f t="shared" si="104"/>
        <v>2780.7000000000003</v>
      </c>
      <c r="M168" s="9">
        <f t="shared" si="99"/>
        <v>8.317932198920238E-3</v>
      </c>
    </row>
    <row r="169" spans="1:13" ht="38.25" x14ac:dyDescent="0.2">
      <c r="A169" s="23" t="s">
        <v>378</v>
      </c>
      <c r="B169" s="7" t="s">
        <v>64</v>
      </c>
      <c r="C169" s="17" t="s">
        <v>24</v>
      </c>
      <c r="D169" s="25" t="s">
        <v>65</v>
      </c>
      <c r="E169" s="18" t="s">
        <v>34</v>
      </c>
      <c r="F169" s="7">
        <v>36</v>
      </c>
      <c r="G169" s="8">
        <v>19.46</v>
      </c>
      <c r="H169" s="8">
        <v>53.01</v>
      </c>
      <c r="I169" s="8">
        <f t="shared" si="101"/>
        <v>72.47</v>
      </c>
      <c r="J169" s="8">
        <f t="shared" si="102"/>
        <v>700.56000000000006</v>
      </c>
      <c r="K169" s="8">
        <f t="shared" si="103"/>
        <v>1908.36</v>
      </c>
      <c r="L169" s="8">
        <f t="shared" si="104"/>
        <v>2608.92</v>
      </c>
      <c r="M169" s="9">
        <f t="shared" si="99"/>
        <v>7.8040851844524712E-3</v>
      </c>
    </row>
    <row r="170" spans="1:13" ht="25.5" x14ac:dyDescent="0.2">
      <c r="A170" s="23" t="s">
        <v>379</v>
      </c>
      <c r="B170" s="7" t="s">
        <v>235</v>
      </c>
      <c r="C170" s="17" t="s">
        <v>24</v>
      </c>
      <c r="D170" s="25" t="s">
        <v>511</v>
      </c>
      <c r="E170" s="18" t="s">
        <v>34</v>
      </c>
      <c r="F170" s="7">
        <v>1.68</v>
      </c>
      <c r="G170" s="8">
        <v>15.89</v>
      </c>
      <c r="H170" s="8">
        <v>676.58</v>
      </c>
      <c r="I170" s="8">
        <f t="shared" si="101"/>
        <v>692.47</v>
      </c>
      <c r="J170" s="8">
        <f t="shared" si="102"/>
        <v>26.6952</v>
      </c>
      <c r="K170" s="8">
        <f t="shared" si="103"/>
        <v>1136.6544000000001</v>
      </c>
      <c r="L170" s="8">
        <f t="shared" si="104"/>
        <v>1163.3496</v>
      </c>
      <c r="M170" s="9">
        <f t="shared" si="99"/>
        <v>3.4799378201319738E-3</v>
      </c>
    </row>
    <row r="171" spans="1:13" ht="38.25" x14ac:dyDescent="0.2">
      <c r="A171" s="23" t="s">
        <v>380</v>
      </c>
      <c r="B171" s="7" t="s">
        <v>381</v>
      </c>
      <c r="C171" s="17" t="s">
        <v>24</v>
      </c>
      <c r="D171" s="25" t="s">
        <v>382</v>
      </c>
      <c r="E171" s="18" t="s">
        <v>34</v>
      </c>
      <c r="F171" s="7">
        <v>7.2</v>
      </c>
      <c r="G171" s="8">
        <v>13.32</v>
      </c>
      <c r="H171" s="8">
        <v>11.3</v>
      </c>
      <c r="I171" s="8">
        <f t="shared" si="101"/>
        <v>24.62</v>
      </c>
      <c r="J171" s="8">
        <f t="shared" si="102"/>
        <v>95.904000000000011</v>
      </c>
      <c r="K171" s="8">
        <f t="shared" si="103"/>
        <v>81.360000000000014</v>
      </c>
      <c r="L171" s="8">
        <f t="shared" si="104"/>
        <v>177.26400000000001</v>
      </c>
      <c r="M171" s="9">
        <f t="shared" si="99"/>
        <v>5.3025135156953187E-4</v>
      </c>
    </row>
    <row r="172" spans="1:13" ht="25.5" x14ac:dyDescent="0.2">
      <c r="A172" s="23" t="s">
        <v>383</v>
      </c>
      <c r="B172" s="7" t="s">
        <v>67</v>
      </c>
      <c r="C172" s="17" t="s">
        <v>24</v>
      </c>
      <c r="D172" s="25" t="s">
        <v>68</v>
      </c>
      <c r="E172" s="18" t="s">
        <v>41</v>
      </c>
      <c r="F172" s="7">
        <v>1.4</v>
      </c>
      <c r="G172" s="8">
        <v>21.6</v>
      </c>
      <c r="H172" s="8">
        <v>59.79</v>
      </c>
      <c r="I172" s="8">
        <f t="shared" si="101"/>
        <v>81.39</v>
      </c>
      <c r="J172" s="8">
        <f t="shared" si="102"/>
        <v>30.24</v>
      </c>
      <c r="K172" s="8">
        <f t="shared" si="103"/>
        <v>83.705999999999989</v>
      </c>
      <c r="L172" s="8">
        <f t="shared" si="104"/>
        <v>113.94599999999998</v>
      </c>
      <c r="M172" s="9">
        <f t="shared" si="99"/>
        <v>3.4084766509805635E-4</v>
      </c>
    </row>
    <row r="173" spans="1:13" ht="38.25" x14ac:dyDescent="0.2">
      <c r="A173" s="23" t="s">
        <v>384</v>
      </c>
      <c r="B173" s="7" t="s">
        <v>70</v>
      </c>
      <c r="C173" s="17" t="s">
        <v>24</v>
      </c>
      <c r="D173" s="25" t="s">
        <v>71</v>
      </c>
      <c r="E173" s="18" t="s">
        <v>34</v>
      </c>
      <c r="F173" s="7">
        <f>53.5+15</f>
        <v>68.5</v>
      </c>
      <c r="G173" s="8">
        <v>5.26</v>
      </c>
      <c r="H173" s="8">
        <v>9.66</v>
      </c>
      <c r="I173" s="8">
        <f t="shared" si="101"/>
        <v>14.92</v>
      </c>
      <c r="J173" s="8">
        <f t="shared" si="102"/>
        <v>360.31</v>
      </c>
      <c r="K173" s="8">
        <f t="shared" si="103"/>
        <v>661.71</v>
      </c>
      <c r="L173" s="8">
        <f t="shared" si="104"/>
        <v>1022.02</v>
      </c>
      <c r="M173" s="9">
        <f t="shared" si="99"/>
        <v>3.0571773531630386E-3</v>
      </c>
    </row>
    <row r="174" spans="1:13" ht="25.5" x14ac:dyDescent="0.2">
      <c r="A174" s="23" t="s">
        <v>385</v>
      </c>
      <c r="B174" s="7" t="s">
        <v>386</v>
      </c>
      <c r="C174" s="17" t="s">
        <v>24</v>
      </c>
      <c r="D174" s="25" t="s">
        <v>387</v>
      </c>
      <c r="E174" s="18" t="s">
        <v>34</v>
      </c>
      <c r="F174" s="7">
        <v>15</v>
      </c>
      <c r="G174" s="8">
        <v>1.93</v>
      </c>
      <c r="H174" s="8">
        <v>47.19</v>
      </c>
      <c r="I174" s="8">
        <f t="shared" si="101"/>
        <v>49.12</v>
      </c>
      <c r="J174" s="8">
        <f t="shared" si="102"/>
        <v>28.95</v>
      </c>
      <c r="K174" s="8">
        <f t="shared" si="103"/>
        <v>707.84999999999991</v>
      </c>
      <c r="L174" s="8">
        <f t="shared" si="104"/>
        <v>736.8</v>
      </c>
      <c r="M174" s="9">
        <f t="shared" si="99"/>
        <v>2.2039962758170356E-3</v>
      </c>
    </row>
    <row r="175" spans="1:13" ht="38.25" x14ac:dyDescent="0.2">
      <c r="A175" s="23" t="s">
        <v>388</v>
      </c>
      <c r="B175" s="7" t="s">
        <v>389</v>
      </c>
      <c r="C175" s="17" t="s">
        <v>24</v>
      </c>
      <c r="D175" s="25" t="s">
        <v>390</v>
      </c>
      <c r="E175" s="18" t="s">
        <v>34</v>
      </c>
      <c r="F175" s="7">
        <v>15</v>
      </c>
      <c r="G175" s="8">
        <v>36</v>
      </c>
      <c r="H175" s="8">
        <v>198.93</v>
      </c>
      <c r="I175" s="8">
        <f t="shared" si="101"/>
        <v>234.93</v>
      </c>
      <c r="J175" s="8">
        <f t="shared" si="102"/>
        <v>540</v>
      </c>
      <c r="K175" s="8">
        <f t="shared" si="103"/>
        <v>2983.9500000000003</v>
      </c>
      <c r="L175" s="8">
        <f t="shared" si="104"/>
        <v>3523.9500000000003</v>
      </c>
      <c r="M175" s="9">
        <f t="shared" si="99"/>
        <v>1.0541222416076877E-2</v>
      </c>
    </row>
    <row r="176" spans="1:13" x14ac:dyDescent="0.2">
      <c r="A176" s="22" t="s">
        <v>391</v>
      </c>
      <c r="B176" s="4"/>
      <c r="C176" s="4"/>
      <c r="D176" s="27" t="s">
        <v>504</v>
      </c>
      <c r="E176" s="4"/>
      <c r="F176" s="3"/>
      <c r="G176" s="71"/>
      <c r="H176" s="71"/>
      <c r="I176" s="71"/>
      <c r="J176" s="5">
        <f>SUM(J177:J183)</f>
        <v>1031.77</v>
      </c>
      <c r="K176" s="5">
        <f>SUM(K177:K183)</f>
        <v>5301.9490000000005</v>
      </c>
      <c r="L176" s="5">
        <f>SUM(L177:L183)</f>
        <v>6333.7190000000001</v>
      </c>
      <c r="M176" s="6">
        <f t="shared" si="99"/>
        <v>1.8946108968609664E-2</v>
      </c>
    </row>
    <row r="177" spans="1:13" x14ac:dyDescent="0.2">
      <c r="A177" s="23" t="s">
        <v>392</v>
      </c>
      <c r="B177" s="7" t="s">
        <v>393</v>
      </c>
      <c r="C177" s="17" t="s">
        <v>20</v>
      </c>
      <c r="D177" s="25" t="s">
        <v>394</v>
      </c>
      <c r="E177" s="18" t="s">
        <v>93</v>
      </c>
      <c r="F177" s="7">
        <v>1</v>
      </c>
      <c r="G177" s="8">
        <v>90.15</v>
      </c>
      <c r="H177" s="8">
        <v>1212.45</v>
      </c>
      <c r="I177" s="8">
        <f t="shared" ref="I177:I183" si="105">H177+G177</f>
        <v>1302.6000000000001</v>
      </c>
      <c r="J177" s="8">
        <f t="shared" ref="J177:J183" si="106">G177*F177</f>
        <v>90.15</v>
      </c>
      <c r="K177" s="8">
        <f t="shared" ref="K177:K183" si="107">H177*F177</f>
        <v>1212.45</v>
      </c>
      <c r="L177" s="8">
        <f t="shared" ref="L177:L183" si="108">K177+J177</f>
        <v>1302.6000000000001</v>
      </c>
      <c r="M177" s="9">
        <f t="shared" si="99"/>
        <v>3.8964787579794666E-3</v>
      </c>
    </row>
    <row r="178" spans="1:13" ht="42.75" customHeight="1" x14ac:dyDescent="0.2">
      <c r="A178" s="23" t="s">
        <v>425</v>
      </c>
      <c r="B178" s="7" t="s">
        <v>395</v>
      </c>
      <c r="C178" s="17" t="s">
        <v>24</v>
      </c>
      <c r="D178" s="25" t="s">
        <v>396</v>
      </c>
      <c r="E178" s="18" t="s">
        <v>34</v>
      </c>
      <c r="F178" s="7">
        <v>18.5</v>
      </c>
      <c r="G178" s="8">
        <v>4.04</v>
      </c>
      <c r="H178" s="8">
        <v>15.44</v>
      </c>
      <c r="I178" s="8">
        <f t="shared" si="105"/>
        <v>19.48</v>
      </c>
      <c r="J178" s="8">
        <f t="shared" si="106"/>
        <v>74.739999999999995</v>
      </c>
      <c r="K178" s="8">
        <f t="shared" si="107"/>
        <v>285.64</v>
      </c>
      <c r="L178" s="8">
        <f t="shared" si="108"/>
        <v>360.38</v>
      </c>
      <c r="M178" s="9">
        <f t="shared" si="99"/>
        <v>1.0780078418552435E-3</v>
      </c>
    </row>
    <row r="179" spans="1:13" ht="25.5" x14ac:dyDescent="0.2">
      <c r="A179" s="23" t="s">
        <v>426</v>
      </c>
      <c r="B179" s="7" t="s">
        <v>397</v>
      </c>
      <c r="C179" s="17" t="s">
        <v>24</v>
      </c>
      <c r="D179" s="25" t="s">
        <v>398</v>
      </c>
      <c r="E179" s="18" t="s">
        <v>34</v>
      </c>
      <c r="F179" s="7">
        <v>18.5</v>
      </c>
      <c r="G179" s="8">
        <v>3.68</v>
      </c>
      <c r="H179" s="8">
        <v>82.57</v>
      </c>
      <c r="I179" s="8">
        <f t="shared" si="105"/>
        <v>86.25</v>
      </c>
      <c r="J179" s="8">
        <f t="shared" si="106"/>
        <v>68.08</v>
      </c>
      <c r="K179" s="8">
        <f t="shared" si="107"/>
        <v>1527.5449999999998</v>
      </c>
      <c r="L179" s="8">
        <f t="shared" si="108"/>
        <v>1595.6249999999998</v>
      </c>
      <c r="M179" s="9">
        <f t="shared" si="99"/>
        <v>4.7730070000007565E-3</v>
      </c>
    </row>
    <row r="180" spans="1:13" ht="25.5" x14ac:dyDescent="0.2">
      <c r="A180" s="23" t="s">
        <v>427</v>
      </c>
      <c r="B180" s="7" t="s">
        <v>399</v>
      </c>
      <c r="C180" s="17" t="s">
        <v>24</v>
      </c>
      <c r="D180" s="25" t="s">
        <v>424</v>
      </c>
      <c r="E180" s="18" t="s">
        <v>41</v>
      </c>
      <c r="F180" s="7">
        <v>5</v>
      </c>
      <c r="G180" s="8">
        <v>2.66</v>
      </c>
      <c r="H180" s="8">
        <v>102.27</v>
      </c>
      <c r="I180" s="8">
        <f t="shared" si="105"/>
        <v>104.92999999999999</v>
      </c>
      <c r="J180" s="8">
        <f t="shared" si="106"/>
        <v>13.3</v>
      </c>
      <c r="K180" s="8">
        <f t="shared" si="107"/>
        <v>511.34999999999997</v>
      </c>
      <c r="L180" s="8">
        <f t="shared" si="108"/>
        <v>524.65</v>
      </c>
      <c r="M180" s="9">
        <f t="shared" si="99"/>
        <v>1.5693901277244948E-3</v>
      </c>
    </row>
    <row r="181" spans="1:13" x14ac:dyDescent="0.2">
      <c r="A181" s="23" t="s">
        <v>428</v>
      </c>
      <c r="B181" s="7" t="s">
        <v>274</v>
      </c>
      <c r="C181" s="17" t="s">
        <v>20</v>
      </c>
      <c r="D181" s="25" t="s">
        <v>513</v>
      </c>
      <c r="E181" s="18" t="s">
        <v>41</v>
      </c>
      <c r="F181" s="7">
        <v>22</v>
      </c>
      <c r="G181" s="8">
        <v>23.33</v>
      </c>
      <c r="H181" s="8">
        <v>53.25</v>
      </c>
      <c r="I181" s="8">
        <f t="shared" si="105"/>
        <v>76.58</v>
      </c>
      <c r="J181" s="8">
        <f t="shared" si="106"/>
        <v>513.26</v>
      </c>
      <c r="K181" s="8">
        <f t="shared" si="107"/>
        <v>1171.5</v>
      </c>
      <c r="L181" s="8">
        <f t="shared" si="108"/>
        <v>1684.76</v>
      </c>
      <c r="M181" s="9">
        <f t="shared" si="99"/>
        <v>5.0396373040791382E-3</v>
      </c>
    </row>
    <row r="182" spans="1:13" ht="25.5" x14ac:dyDescent="0.2">
      <c r="A182" s="23" t="s">
        <v>429</v>
      </c>
      <c r="B182" s="29" t="s">
        <v>277</v>
      </c>
      <c r="C182" s="30" t="s">
        <v>24</v>
      </c>
      <c r="D182" s="31" t="s">
        <v>278</v>
      </c>
      <c r="E182" s="32" t="s">
        <v>34</v>
      </c>
      <c r="F182" s="29">
        <v>4.4000000000000004</v>
      </c>
      <c r="G182" s="33">
        <v>8.35</v>
      </c>
      <c r="H182" s="33">
        <v>9.81</v>
      </c>
      <c r="I182" s="33">
        <f t="shared" si="105"/>
        <v>18.16</v>
      </c>
      <c r="J182" s="33">
        <f t="shared" si="106"/>
        <v>36.74</v>
      </c>
      <c r="K182" s="33">
        <f t="shared" si="107"/>
        <v>43.164000000000009</v>
      </c>
      <c r="L182" s="33">
        <f t="shared" si="108"/>
        <v>79.904000000000011</v>
      </c>
      <c r="M182" s="34">
        <f t="shared" si="99"/>
        <v>2.390175331472373E-4</v>
      </c>
    </row>
    <row r="183" spans="1:13" ht="22.5" customHeight="1" x14ac:dyDescent="0.2">
      <c r="A183" s="23" t="s">
        <v>505</v>
      </c>
      <c r="B183" s="29">
        <v>5</v>
      </c>
      <c r="C183" s="30" t="s">
        <v>404</v>
      </c>
      <c r="D183" s="31" t="s">
        <v>506</v>
      </c>
      <c r="E183" s="98" t="s">
        <v>93</v>
      </c>
      <c r="F183" s="29">
        <v>1</v>
      </c>
      <c r="G183" s="33">
        <v>235.5</v>
      </c>
      <c r="H183" s="33">
        <v>550.29999999999995</v>
      </c>
      <c r="I183" s="33">
        <f t="shared" si="105"/>
        <v>785.8</v>
      </c>
      <c r="J183" s="33">
        <f t="shared" si="106"/>
        <v>235.5</v>
      </c>
      <c r="K183" s="33">
        <f t="shared" si="107"/>
        <v>550.29999999999995</v>
      </c>
      <c r="L183" s="33">
        <f t="shared" si="108"/>
        <v>785.8</v>
      </c>
      <c r="M183" s="34">
        <f t="shared" si="99"/>
        <v>2.3505704038233261E-3</v>
      </c>
    </row>
    <row r="184" spans="1:13" x14ac:dyDescent="0.2">
      <c r="A184" s="22" t="s">
        <v>422</v>
      </c>
      <c r="B184" s="4"/>
      <c r="C184" s="4"/>
      <c r="D184" s="27" t="s">
        <v>423</v>
      </c>
      <c r="E184" s="4"/>
      <c r="F184" s="3"/>
      <c r="G184" s="71"/>
      <c r="H184" s="71"/>
      <c r="I184" s="71"/>
      <c r="J184" s="5">
        <f>SUM(J185:J206)</f>
        <v>2981.5125000000003</v>
      </c>
      <c r="K184" s="5">
        <f>SUM(K185:K206)</f>
        <v>8164.3724999999995</v>
      </c>
      <c r="L184" s="5">
        <f t="shared" ref="L184" si="109">SUM(L185:L206)</f>
        <v>11145.885000000002</v>
      </c>
      <c r="M184" s="6">
        <f t="shared" si="99"/>
        <v>3.3340783157824329E-2</v>
      </c>
    </row>
    <row r="185" spans="1:13" ht="25.5" x14ac:dyDescent="0.2">
      <c r="A185" s="43" t="s">
        <v>430</v>
      </c>
      <c r="B185" s="44">
        <v>2</v>
      </c>
      <c r="C185" s="50" t="str">
        <f>C130</f>
        <v>COMP. PRO</v>
      </c>
      <c r="D185" s="52" t="s">
        <v>431</v>
      </c>
      <c r="E185" s="53" t="s">
        <v>93</v>
      </c>
      <c r="F185" s="44">
        <v>1</v>
      </c>
      <c r="G185" s="46">
        <v>450</v>
      </c>
      <c r="H185" s="46">
        <v>325</v>
      </c>
      <c r="I185" s="46">
        <f t="shared" ref="I185:I211" si="110">H185+G185</f>
        <v>775</v>
      </c>
      <c r="J185" s="46">
        <f t="shared" ref="J185" si="111">G185*F185</f>
        <v>450</v>
      </c>
      <c r="K185" s="46">
        <f t="shared" ref="K185" si="112">H185*F185</f>
        <v>325</v>
      </c>
      <c r="L185" s="46">
        <f t="shared" ref="L185" si="113">K185+J185</f>
        <v>775</v>
      </c>
      <c r="M185" s="9">
        <f t="shared" si="99"/>
        <v>2.3182642694872459E-3</v>
      </c>
    </row>
    <row r="186" spans="1:13" ht="38.25" x14ac:dyDescent="0.2">
      <c r="A186" s="43" t="s">
        <v>451</v>
      </c>
      <c r="B186" s="50" t="str">
        <f t="shared" ref="B186:C186" si="114">B51</f>
        <v xml:space="preserve"> 91926 </v>
      </c>
      <c r="C186" s="50" t="str">
        <f t="shared" si="114"/>
        <v>SINAPI</v>
      </c>
      <c r="D186" s="52" t="str">
        <f>D51</f>
        <v>CABO DE COBRE FLEXÍVEL ISOLADO, 2,5 MM², ANTI-CHAMA 450/750 V, PARA CIRCUITOS TERMINAIS - FORNECIMENTO E INSTALAÇÃO. AF_03/2023</v>
      </c>
      <c r="E186" s="50" t="str">
        <f t="shared" ref="E186:H186" si="115">E51</f>
        <v>M</v>
      </c>
      <c r="F186" s="50">
        <v>60</v>
      </c>
      <c r="G186" s="73">
        <f t="shared" si="115"/>
        <v>1.26</v>
      </c>
      <c r="H186" s="73">
        <f t="shared" si="115"/>
        <v>3.57</v>
      </c>
      <c r="I186" s="46">
        <f t="shared" si="110"/>
        <v>4.83</v>
      </c>
      <c r="J186" s="46">
        <f t="shared" ref="J186" si="116">G186*F186</f>
        <v>75.599999999999994</v>
      </c>
      <c r="K186" s="46">
        <f t="shared" ref="K186" si="117">H186*F186</f>
        <v>214.2</v>
      </c>
      <c r="L186" s="46">
        <f t="shared" ref="L186" si="118">K186+J186</f>
        <v>289.79999999999995</v>
      </c>
      <c r="M186" s="9">
        <f t="shared" si="99"/>
        <v>8.6688127135148871E-4</v>
      </c>
    </row>
    <row r="187" spans="1:13" ht="38.25" x14ac:dyDescent="0.2">
      <c r="A187" s="43" t="s">
        <v>452</v>
      </c>
      <c r="B187" s="50" t="str">
        <f t="shared" ref="B187:C187" si="119">B53</f>
        <v xml:space="preserve"> 91930 </v>
      </c>
      <c r="C187" s="50" t="str">
        <f t="shared" si="119"/>
        <v>SINAPI</v>
      </c>
      <c r="D187" s="52" t="str">
        <f>D53</f>
        <v>CABO DE COBRE FLEXÍVEL ISOLADO, 6 MM², ANTI-CHAMA 450/750 V, PARA CIRCUITOS TERMINAIS - FORNECIMENTO E INSTALAÇÃO. AF_03/2023</v>
      </c>
      <c r="E187" s="50" t="str">
        <f t="shared" ref="E187:H187" si="120">E53</f>
        <v>M</v>
      </c>
      <c r="F187" s="50">
        <f>3*45</f>
        <v>135</v>
      </c>
      <c r="G187" s="50">
        <f t="shared" si="120"/>
        <v>2.2400000000000002</v>
      </c>
      <c r="H187" s="50">
        <f t="shared" si="120"/>
        <v>8.24</v>
      </c>
      <c r="I187" s="46">
        <f t="shared" si="110"/>
        <v>10.48</v>
      </c>
      <c r="J187" s="46">
        <f t="shared" ref="J187:J189" si="121">G187*F187</f>
        <v>302.40000000000003</v>
      </c>
      <c r="K187" s="46">
        <f t="shared" ref="K187:K189" si="122">H187*F187</f>
        <v>1112.4000000000001</v>
      </c>
      <c r="L187" s="46">
        <f t="shared" ref="L187:L189" si="123">K187+J187</f>
        <v>1414.8000000000002</v>
      </c>
      <c r="M187" s="9">
        <f t="shared" si="99"/>
        <v>4.2321035980265233E-3</v>
      </c>
    </row>
    <row r="188" spans="1:13" ht="38.25" x14ac:dyDescent="0.2">
      <c r="A188" s="43" t="s">
        <v>453</v>
      </c>
      <c r="B188" s="50">
        <v>3</v>
      </c>
      <c r="C188" s="50" t="str">
        <f>C185</f>
        <v>COMP. PRO</v>
      </c>
      <c r="D188" s="52" t="s">
        <v>448</v>
      </c>
      <c r="E188" s="50" t="str">
        <f>E62</f>
        <v>UN</v>
      </c>
      <c r="F188" s="50">
        <v>1</v>
      </c>
      <c r="G188" s="73">
        <v>15.6</v>
      </c>
      <c r="H188" s="73">
        <f>26.91+23</f>
        <v>49.91</v>
      </c>
      <c r="I188" s="46">
        <f t="shared" si="110"/>
        <v>65.509999999999991</v>
      </c>
      <c r="J188" s="46">
        <f t="shared" si="121"/>
        <v>15.6</v>
      </c>
      <c r="K188" s="46">
        <f t="shared" si="122"/>
        <v>49.91</v>
      </c>
      <c r="L188" s="46">
        <f t="shared" si="123"/>
        <v>65.509999999999991</v>
      </c>
      <c r="M188" s="9">
        <f t="shared" si="99"/>
        <v>1.9596063521820574E-4</v>
      </c>
    </row>
    <row r="189" spans="1:13" ht="25.5" x14ac:dyDescent="0.2">
      <c r="A189" s="43" t="s">
        <v>454</v>
      </c>
      <c r="B189" s="50" t="str">
        <f t="shared" ref="B189:C189" si="124">B63</f>
        <v xml:space="preserve"> 97612 </v>
      </c>
      <c r="C189" s="50" t="str">
        <f t="shared" si="124"/>
        <v>SINAPI</v>
      </c>
      <c r="D189" s="52" t="str">
        <f>D63</f>
        <v>LÂMPADA COMPACTA LED 32 W, BASE E27 (PLAFON - BRANCO) - FORNECIMENTO E INSTALAÇÃO. AF_02/2020</v>
      </c>
      <c r="E189" s="50" t="str">
        <f>E63</f>
        <v>UN</v>
      </c>
      <c r="F189" s="50">
        <v>2</v>
      </c>
      <c r="G189" s="73">
        <f>G63</f>
        <v>5.35</v>
      </c>
      <c r="H189" s="73">
        <f>H63</f>
        <v>38.880000000000003</v>
      </c>
      <c r="I189" s="46">
        <f t="shared" si="110"/>
        <v>44.230000000000004</v>
      </c>
      <c r="J189" s="46">
        <f t="shared" si="121"/>
        <v>10.7</v>
      </c>
      <c r="K189" s="46">
        <f t="shared" si="122"/>
        <v>77.760000000000005</v>
      </c>
      <c r="L189" s="46">
        <f t="shared" si="123"/>
        <v>88.460000000000008</v>
      </c>
      <c r="M189" s="9">
        <f t="shared" si="99"/>
        <v>2.6461117068237648E-4</v>
      </c>
    </row>
    <row r="190" spans="1:13" s="47" customFormat="1" ht="38.25" x14ac:dyDescent="0.2">
      <c r="A190" s="43" t="s">
        <v>455</v>
      </c>
      <c r="B190" s="48" t="s">
        <v>437</v>
      </c>
      <c r="C190" s="48" t="s">
        <v>24</v>
      </c>
      <c r="D190" s="49" t="s">
        <v>438</v>
      </c>
      <c r="E190" s="48" t="s">
        <v>93</v>
      </c>
      <c r="F190" s="50">
        <v>3</v>
      </c>
      <c r="G190" s="73">
        <v>17.86</v>
      </c>
      <c r="H190" s="73">
        <v>128.37</v>
      </c>
      <c r="I190" s="46">
        <f t="shared" si="110"/>
        <v>146.23000000000002</v>
      </c>
      <c r="J190" s="46">
        <f t="shared" ref="J190:J191" si="125">G190*F190</f>
        <v>53.58</v>
      </c>
      <c r="K190" s="46">
        <f t="shared" ref="K190:K191" si="126">H190*F190</f>
        <v>385.11</v>
      </c>
      <c r="L190" s="46">
        <f t="shared" ref="L190:L191" si="127">K190+J190</f>
        <v>438.69</v>
      </c>
      <c r="M190" s="9">
        <f t="shared" ref="M190:M191" si="128">L190/$L$213</f>
        <v>1.3122572288791739E-3</v>
      </c>
    </row>
    <row r="191" spans="1:13" s="47" customFormat="1" ht="25.5" x14ac:dyDescent="0.2">
      <c r="A191" s="43" t="s">
        <v>456</v>
      </c>
      <c r="B191" s="48" t="s">
        <v>439</v>
      </c>
      <c r="C191" s="48" t="s">
        <v>24</v>
      </c>
      <c r="D191" s="49" t="s">
        <v>449</v>
      </c>
      <c r="E191" s="48" t="s">
        <v>93</v>
      </c>
      <c r="F191" s="50">
        <v>2</v>
      </c>
      <c r="G191" s="73">
        <v>25.28</v>
      </c>
      <c r="H191" s="73">
        <v>31.65</v>
      </c>
      <c r="I191" s="46">
        <f t="shared" si="110"/>
        <v>56.93</v>
      </c>
      <c r="J191" s="46">
        <f t="shared" si="125"/>
        <v>50.56</v>
      </c>
      <c r="K191" s="46">
        <f t="shared" si="126"/>
        <v>63.3</v>
      </c>
      <c r="L191" s="46">
        <f t="shared" si="127"/>
        <v>113.86</v>
      </c>
      <c r="M191" s="9">
        <f t="shared" si="128"/>
        <v>3.4059041254686168E-4</v>
      </c>
    </row>
    <row r="192" spans="1:13" ht="23.25" customHeight="1" x14ac:dyDescent="0.2">
      <c r="A192" s="43" t="s">
        <v>457</v>
      </c>
      <c r="B192" s="50" t="str">
        <f>B38</f>
        <v xml:space="preserve"> 93654 </v>
      </c>
      <c r="C192" s="50" t="str">
        <f>C38</f>
        <v>SINAPI</v>
      </c>
      <c r="D192" s="52" t="str">
        <f>D38</f>
        <v>DISJUNTOR MONOPOLAR TIPO DIN, CORRENTE NOMINAL DE 16A - FORNECIMENTO E INSTALAÇÃO. AF_10/2020</v>
      </c>
      <c r="E192" s="50" t="str">
        <f>E38</f>
        <v>UN</v>
      </c>
      <c r="F192" s="50">
        <v>2</v>
      </c>
      <c r="G192" s="73">
        <f>G38</f>
        <v>2.1</v>
      </c>
      <c r="H192" s="73">
        <f>H38</f>
        <v>13.59</v>
      </c>
      <c r="I192" s="46">
        <f t="shared" si="110"/>
        <v>15.69</v>
      </c>
      <c r="J192" s="46">
        <f>G192*F192</f>
        <v>4.2</v>
      </c>
      <c r="K192" s="46">
        <f t="shared" ref="K192:K196" si="129">H192*F192</f>
        <v>27.18</v>
      </c>
      <c r="L192" s="46">
        <f t="shared" ref="L192:L196" si="130">K192+J192</f>
        <v>31.38</v>
      </c>
      <c r="M192" s="9">
        <f>L192/$L$213</f>
        <v>9.3867268098722287E-5</v>
      </c>
    </row>
    <row r="193" spans="1:19" s="47" customFormat="1" ht="40.5" customHeight="1" x14ac:dyDescent="0.2">
      <c r="A193" s="43" t="s">
        <v>458</v>
      </c>
      <c r="B193" s="48" t="s">
        <v>433</v>
      </c>
      <c r="C193" s="48" t="s">
        <v>24</v>
      </c>
      <c r="D193" s="49" t="s">
        <v>434</v>
      </c>
      <c r="E193" s="50" t="s">
        <v>93</v>
      </c>
      <c r="F193" s="50">
        <v>1</v>
      </c>
      <c r="G193" s="73">
        <v>15.25</v>
      </c>
      <c r="H193" s="73">
        <v>88.61</v>
      </c>
      <c r="I193" s="46">
        <f t="shared" si="110"/>
        <v>103.86</v>
      </c>
      <c r="J193" s="46">
        <f t="shared" ref="J193:J195" si="131">G193*F193</f>
        <v>15.25</v>
      </c>
      <c r="K193" s="46">
        <f t="shared" ref="K193:K195" si="132">H193*F193</f>
        <v>88.61</v>
      </c>
      <c r="L193" s="46">
        <f t="shared" ref="L193:L195" si="133">K193+J193</f>
        <v>103.86</v>
      </c>
      <c r="M193" s="9">
        <f t="shared" ref="M193:M195" si="134">L193/$L$213</f>
        <v>3.1067732519863916E-4</v>
      </c>
    </row>
    <row r="194" spans="1:19" s="47" customFormat="1" ht="25.5" customHeight="1" x14ac:dyDescent="0.2">
      <c r="A194" s="43" t="s">
        <v>459</v>
      </c>
      <c r="B194" s="48" t="s">
        <v>435</v>
      </c>
      <c r="C194" s="48" t="s">
        <v>24</v>
      </c>
      <c r="D194" s="49" t="s">
        <v>436</v>
      </c>
      <c r="E194" s="50" t="s">
        <v>93</v>
      </c>
      <c r="F194" s="50">
        <v>1</v>
      </c>
      <c r="G194" s="73">
        <v>18.28</v>
      </c>
      <c r="H194" s="73">
        <v>105.02</v>
      </c>
      <c r="I194" s="46">
        <f t="shared" si="110"/>
        <v>123.3</v>
      </c>
      <c r="J194" s="46">
        <f t="shared" si="131"/>
        <v>18.28</v>
      </c>
      <c r="K194" s="46">
        <f t="shared" si="132"/>
        <v>105.02</v>
      </c>
      <c r="L194" s="46">
        <f t="shared" si="133"/>
        <v>123.3</v>
      </c>
      <c r="M194" s="9">
        <f t="shared" si="134"/>
        <v>3.6882836700358375E-4</v>
      </c>
    </row>
    <row r="195" spans="1:19" s="47" customFormat="1" ht="43.5" customHeight="1" x14ac:dyDescent="0.2">
      <c r="A195" s="43" t="s">
        <v>460</v>
      </c>
      <c r="B195" s="48" t="s">
        <v>223</v>
      </c>
      <c r="C195" s="48" t="s">
        <v>24</v>
      </c>
      <c r="D195" s="49" t="s">
        <v>224</v>
      </c>
      <c r="E195" s="50" t="s">
        <v>41</v>
      </c>
      <c r="F195" s="50">
        <v>22.5</v>
      </c>
      <c r="G195" s="51">
        <v>3.12</v>
      </c>
      <c r="H195" s="51">
        <v>8.07</v>
      </c>
      <c r="I195" s="46">
        <f t="shared" si="110"/>
        <v>11.190000000000001</v>
      </c>
      <c r="J195" s="46">
        <f t="shared" si="131"/>
        <v>70.2</v>
      </c>
      <c r="K195" s="46">
        <f t="shared" si="132"/>
        <v>181.57500000000002</v>
      </c>
      <c r="L195" s="46">
        <f t="shared" si="133"/>
        <v>251.77500000000003</v>
      </c>
      <c r="M195" s="9">
        <f t="shared" si="134"/>
        <v>7.5313675670987278E-4</v>
      </c>
    </row>
    <row r="196" spans="1:19" ht="38.25" x14ac:dyDescent="0.2">
      <c r="A196" s="43" t="s">
        <v>461</v>
      </c>
      <c r="B196" s="50" t="str">
        <f t="shared" ref="B196:C196" si="135">B48</f>
        <v xml:space="preserve"> 91871 </v>
      </c>
      <c r="C196" s="50" t="str">
        <f t="shared" si="135"/>
        <v>SINAPI</v>
      </c>
      <c r="D196" s="52" t="str">
        <f>D48</f>
        <v>ELETRODUTO RÍGIDO ROSCÁVEL, PVC, DN 25 MM (3/4"), PARA CIRCUITOS TERMINAIS, INSTALADO EM PAREDE - FORNECIMENTO E INSTALAÇÃO. AF_03/2023</v>
      </c>
      <c r="E196" s="50" t="str">
        <f>E48</f>
        <v>M</v>
      </c>
      <c r="F196" s="50">
        <v>35</v>
      </c>
      <c r="G196" s="73">
        <f>G48</f>
        <v>7.82</v>
      </c>
      <c r="H196" s="73">
        <f>H48</f>
        <v>10.57</v>
      </c>
      <c r="I196" s="46">
        <f t="shared" si="110"/>
        <v>18.39</v>
      </c>
      <c r="J196" s="46">
        <f t="shared" ref="J196" si="136">G196*F196</f>
        <v>273.7</v>
      </c>
      <c r="K196" s="46">
        <f t="shared" si="129"/>
        <v>369.95</v>
      </c>
      <c r="L196" s="46">
        <f t="shared" si="130"/>
        <v>643.65</v>
      </c>
      <c r="M196" s="9">
        <f t="shared" ref="M196:M213" si="137">L196/$L$213</f>
        <v>1.9253558671683429E-3</v>
      </c>
    </row>
    <row r="197" spans="1:19" ht="63.75" x14ac:dyDescent="0.2">
      <c r="A197" s="43" t="s">
        <v>462</v>
      </c>
      <c r="B197" s="50" t="str">
        <f t="shared" ref="B197:C197" si="138">B121</f>
        <v xml:space="preserve"> 93396 </v>
      </c>
      <c r="C197" s="50" t="str">
        <f t="shared" si="138"/>
        <v>SINAPI</v>
      </c>
      <c r="D197" s="52" t="str">
        <f>D121</f>
        <v>BANCADA GRANITO CINZA,  50 X 60 CM, INCL. CUBA DE EMBUTIR OVAL LOUÇA BRANCA 35 X 50 CM, VÁLVULA METAL CROMADO, SIFÃO FLEXÍVEL PVC, ENGATE 30 CM FLEXÍVEL PLÁSTICO E TORNEIRA CROMADA DE MESA, PADRÃO POPULAR - FORNEC. E INSTALAÇÃO. AF_01/2020</v>
      </c>
      <c r="E197" s="50" t="str">
        <f>E121</f>
        <v>UN</v>
      </c>
      <c r="F197" s="50">
        <v>1</v>
      </c>
      <c r="G197" s="73">
        <f>G121</f>
        <v>97.52</v>
      </c>
      <c r="H197" s="73">
        <f>H121</f>
        <v>833.78</v>
      </c>
      <c r="I197" s="46">
        <f t="shared" si="110"/>
        <v>931.3</v>
      </c>
      <c r="J197" s="46">
        <f t="shared" ref="J197" si="139">G197*F197</f>
        <v>97.52</v>
      </c>
      <c r="K197" s="46">
        <f t="shared" ref="K197" si="140">H197*F197</f>
        <v>833.78</v>
      </c>
      <c r="L197" s="46">
        <f t="shared" ref="L197" si="141">K197+J197</f>
        <v>931.3</v>
      </c>
      <c r="M197" s="9">
        <f t="shared" si="137"/>
        <v>2.7858058247399635E-3</v>
      </c>
      <c r="P197">
        <v>0.5</v>
      </c>
      <c r="Q197">
        <v>0.5</v>
      </c>
      <c r="R197">
        <v>3.14</v>
      </c>
      <c r="S197">
        <f>R197*(P197*Q197)</f>
        <v>0.78500000000000003</v>
      </c>
    </row>
    <row r="198" spans="1:19" s="47" customFormat="1" ht="25.5" x14ac:dyDescent="0.2">
      <c r="A198" s="43" t="s">
        <v>463</v>
      </c>
      <c r="B198" s="48" t="s">
        <v>440</v>
      </c>
      <c r="C198" s="48" t="s">
        <v>24</v>
      </c>
      <c r="D198" s="49" t="s">
        <v>441</v>
      </c>
      <c r="E198" s="48" t="s">
        <v>41</v>
      </c>
      <c r="F198" s="48">
        <v>16.5</v>
      </c>
      <c r="G198" s="73">
        <v>0.87</v>
      </c>
      <c r="H198" s="73">
        <v>6.43</v>
      </c>
      <c r="I198" s="46">
        <f t="shared" si="110"/>
        <v>7.3</v>
      </c>
      <c r="J198" s="46">
        <f t="shared" ref="J198:J205" si="142">G198*F198</f>
        <v>14.355</v>
      </c>
      <c r="K198" s="46">
        <f t="shared" ref="K198:K205" si="143">H198*F198</f>
        <v>106.095</v>
      </c>
      <c r="L198" s="46">
        <f t="shared" ref="L198:L205" si="144">K198+J198</f>
        <v>120.45</v>
      </c>
      <c r="M198" s="9">
        <f t="shared" si="137"/>
        <v>3.6030313710934034E-4</v>
      </c>
      <c r="S198" s="47">
        <v>1.5</v>
      </c>
    </row>
    <row r="199" spans="1:19" s="47" customFormat="1" ht="25.5" x14ac:dyDescent="0.2">
      <c r="A199" s="43" t="s">
        <v>464</v>
      </c>
      <c r="B199" s="48" t="s">
        <v>442</v>
      </c>
      <c r="C199" s="48" t="s">
        <v>24</v>
      </c>
      <c r="D199" s="49" t="s">
        <v>482</v>
      </c>
      <c r="E199" s="48" t="s">
        <v>41</v>
      </c>
      <c r="F199" s="50">
        <v>5.75</v>
      </c>
      <c r="G199" s="73">
        <f>21.49</f>
        <v>21.49</v>
      </c>
      <c r="H199" s="73">
        <v>9.35</v>
      </c>
      <c r="I199" s="46">
        <f t="shared" si="110"/>
        <v>30.839999999999996</v>
      </c>
      <c r="J199" s="46">
        <f t="shared" si="142"/>
        <v>123.5675</v>
      </c>
      <c r="K199" s="46">
        <f t="shared" si="143"/>
        <v>53.762499999999996</v>
      </c>
      <c r="L199" s="46">
        <f t="shared" si="144"/>
        <v>177.32999999999998</v>
      </c>
      <c r="M199" s="9">
        <f t="shared" si="137"/>
        <v>5.3044877794602996E-4</v>
      </c>
      <c r="S199" s="47">
        <f>S198/S197</f>
        <v>1.910828025477707</v>
      </c>
    </row>
    <row r="200" spans="1:19" s="47" customFormat="1" ht="51" x14ac:dyDescent="0.2">
      <c r="A200" s="43" t="s">
        <v>465</v>
      </c>
      <c r="B200" s="48" t="s">
        <v>443</v>
      </c>
      <c r="C200" s="48" t="s">
        <v>24</v>
      </c>
      <c r="D200" s="49" t="s">
        <v>481</v>
      </c>
      <c r="E200" s="48" t="s">
        <v>93</v>
      </c>
      <c r="F200" s="50">
        <v>1</v>
      </c>
      <c r="G200" s="73">
        <v>476.38</v>
      </c>
      <c r="H200" s="73">
        <v>1176.3399999999999</v>
      </c>
      <c r="I200" s="46">
        <f t="shared" si="110"/>
        <v>1652.7199999999998</v>
      </c>
      <c r="J200" s="46">
        <f t="shared" si="142"/>
        <v>476.38</v>
      </c>
      <c r="K200" s="46">
        <f t="shared" si="143"/>
        <v>1176.3399999999999</v>
      </c>
      <c r="L200" s="46">
        <f t="shared" si="144"/>
        <v>1652.7199999999998</v>
      </c>
      <c r="M200" s="9">
        <f t="shared" si="137"/>
        <v>4.9437957722154331E-3</v>
      </c>
    </row>
    <row r="201" spans="1:19" s="47" customFormat="1" ht="25.5" x14ac:dyDescent="0.2">
      <c r="A201" s="43" t="s">
        <v>466</v>
      </c>
      <c r="B201" s="48" t="s">
        <v>445</v>
      </c>
      <c r="C201" s="48" t="s">
        <v>20</v>
      </c>
      <c r="D201" s="49" t="s">
        <v>478</v>
      </c>
      <c r="E201" s="48" t="s">
        <v>93</v>
      </c>
      <c r="F201" s="50">
        <v>4</v>
      </c>
      <c r="G201" s="73">
        <v>0.51</v>
      </c>
      <c r="H201" s="73">
        <v>62.87</v>
      </c>
      <c r="I201" s="46">
        <f t="shared" si="110"/>
        <v>63.379999999999995</v>
      </c>
      <c r="J201" s="46">
        <f t="shared" si="142"/>
        <v>2.04</v>
      </c>
      <c r="K201" s="46">
        <f t="shared" si="143"/>
        <v>251.48</v>
      </c>
      <c r="L201" s="46">
        <f t="shared" si="144"/>
        <v>253.51999999999998</v>
      </c>
      <c r="M201" s="9">
        <f t="shared" si="137"/>
        <v>7.5835659045213745E-4</v>
      </c>
    </row>
    <row r="202" spans="1:19" s="47" customFormat="1" ht="25.5" x14ac:dyDescent="0.2">
      <c r="A202" s="43" t="s">
        <v>467</v>
      </c>
      <c r="B202" s="48" t="s">
        <v>446</v>
      </c>
      <c r="C202" s="48" t="s">
        <v>24</v>
      </c>
      <c r="D202" s="49" t="s">
        <v>447</v>
      </c>
      <c r="E202" s="48" t="s">
        <v>93</v>
      </c>
      <c r="F202" s="50">
        <v>1</v>
      </c>
      <c r="G202" s="73">
        <v>13.42</v>
      </c>
      <c r="H202" s="73">
        <v>125.5</v>
      </c>
      <c r="I202" s="46">
        <f t="shared" si="110"/>
        <v>138.91999999999999</v>
      </c>
      <c r="J202" s="46">
        <f t="shared" si="142"/>
        <v>13.42</v>
      </c>
      <c r="K202" s="46">
        <f t="shared" si="143"/>
        <v>125.5</v>
      </c>
      <c r="L202" s="46">
        <f t="shared" si="144"/>
        <v>138.91999999999999</v>
      </c>
      <c r="M202" s="9">
        <f t="shared" si="137"/>
        <v>4.1555260944150732E-4</v>
      </c>
    </row>
    <row r="203" spans="1:19" s="47" customFormat="1" ht="43.5" customHeight="1" x14ac:dyDescent="0.2">
      <c r="A203" s="43" t="s">
        <v>468</v>
      </c>
      <c r="B203" s="50" t="str">
        <f t="shared" ref="B203:C203" si="145">B126</f>
        <v xml:space="preserve"> 89985 </v>
      </c>
      <c r="C203" s="50" t="str">
        <f t="shared" si="145"/>
        <v>SINAPI</v>
      </c>
      <c r="D203" s="52" t="str">
        <f>D126</f>
        <v>REGISTRO DE PRESSÃO BRUTO, LATÃO, ROSCÁVEL, 3/4", COM ACABAMENTO E CANOPLA CROMADOS - FORNECIMENTO E INSTALAÇÃO. AF_08/2021</v>
      </c>
      <c r="E203" s="50" t="str">
        <f>E126</f>
        <v>UN</v>
      </c>
      <c r="F203" s="50">
        <v>2</v>
      </c>
      <c r="G203" s="73">
        <f>G126</f>
        <v>10.050000000000001</v>
      </c>
      <c r="H203" s="73">
        <f>H126</f>
        <v>123.58</v>
      </c>
      <c r="I203" s="46">
        <f t="shared" si="110"/>
        <v>133.63</v>
      </c>
      <c r="J203" s="46">
        <f t="shared" si="142"/>
        <v>20.100000000000001</v>
      </c>
      <c r="K203" s="46">
        <f t="shared" si="143"/>
        <v>247.16</v>
      </c>
      <c r="L203" s="46">
        <f t="shared" si="144"/>
        <v>267.26</v>
      </c>
      <c r="M203" s="9">
        <f t="shared" si="137"/>
        <v>7.9945717246859523E-4</v>
      </c>
    </row>
    <row r="204" spans="1:19" s="47" customFormat="1" ht="43.5" customHeight="1" x14ac:dyDescent="0.2">
      <c r="A204" s="43" t="s">
        <v>469</v>
      </c>
      <c r="B204" s="50" t="str">
        <f>B129</f>
        <v xml:space="preserve"> 89709 </v>
      </c>
      <c r="C204" s="50" t="str">
        <f>C129</f>
        <v>SINAPI</v>
      </c>
      <c r="D204" s="52" t="str">
        <f>D129</f>
        <v>RALO SIFONADO, PVC, DN 100 X 40 MM, JUNTA SOLDÁVEL, FORNECIDO E INSTALADO EM RAMAL DE DESCARGA OU EM RAMAL DE ESGOTO SANITÁRIO. AF_08/2022</v>
      </c>
      <c r="E204" s="50" t="str">
        <f>E129</f>
        <v>UN</v>
      </c>
      <c r="F204" s="50">
        <v>1</v>
      </c>
      <c r="G204" s="73">
        <f>G129</f>
        <v>7.5</v>
      </c>
      <c r="H204" s="73">
        <f>H129</f>
        <v>19.68</v>
      </c>
      <c r="I204" s="46">
        <f t="shared" ref="I204" si="146">H204+G204</f>
        <v>27.18</v>
      </c>
      <c r="J204" s="46">
        <f t="shared" ref="J204" si="147">G204*F204</f>
        <v>7.5</v>
      </c>
      <c r="K204" s="46">
        <f t="shared" ref="K204" si="148">H204*F204</f>
        <v>19.68</v>
      </c>
      <c r="L204" s="46">
        <f>K204+J204</f>
        <v>27.18</v>
      </c>
      <c r="M204" s="9">
        <f t="shared" si="137"/>
        <v>8.1303771412468819E-5</v>
      </c>
    </row>
    <row r="205" spans="1:19" s="47" customFormat="1" ht="38.25" x14ac:dyDescent="0.2">
      <c r="A205" s="43" t="s">
        <v>470</v>
      </c>
      <c r="B205" s="48" t="s">
        <v>444</v>
      </c>
      <c r="C205" s="48" t="s">
        <v>24</v>
      </c>
      <c r="D205" s="49" t="s">
        <v>480</v>
      </c>
      <c r="E205" s="48" t="s">
        <v>93</v>
      </c>
      <c r="F205" s="50">
        <v>1</v>
      </c>
      <c r="G205" s="73">
        <f>941.06-150</f>
        <v>791.06</v>
      </c>
      <c r="H205" s="73">
        <f>2270.06-150</f>
        <v>2120.06</v>
      </c>
      <c r="I205" s="46">
        <f t="shared" si="110"/>
        <v>2911.12</v>
      </c>
      <c r="J205" s="46">
        <f t="shared" si="142"/>
        <v>791.06</v>
      </c>
      <c r="K205" s="46">
        <f t="shared" si="143"/>
        <v>2120.06</v>
      </c>
      <c r="L205" s="46">
        <f t="shared" si="144"/>
        <v>2911.12</v>
      </c>
      <c r="M205" s="9">
        <f t="shared" si="137"/>
        <v>8.7080586841157565E-3</v>
      </c>
    </row>
    <row r="206" spans="1:19" ht="25.5" x14ac:dyDescent="0.2">
      <c r="A206" s="43" t="s">
        <v>471</v>
      </c>
      <c r="B206" s="50">
        <v>4</v>
      </c>
      <c r="C206" s="52" t="str">
        <f>C188</f>
        <v>COMP. PRO</v>
      </c>
      <c r="D206" s="52" t="s">
        <v>450</v>
      </c>
      <c r="E206" s="50" t="s">
        <v>93</v>
      </c>
      <c r="F206" s="50">
        <v>1</v>
      </c>
      <c r="G206" s="73">
        <v>95.5</v>
      </c>
      <c r="H206" s="73">
        <v>230.5</v>
      </c>
      <c r="I206" s="46">
        <f t="shared" si="110"/>
        <v>326</v>
      </c>
      <c r="J206" s="46">
        <f t="shared" ref="J206" si="149">G206*F206</f>
        <v>95.5</v>
      </c>
      <c r="K206" s="46">
        <f t="shared" ref="K206" si="150">H206*F206</f>
        <v>230.5</v>
      </c>
      <c r="L206" s="46">
        <f t="shared" ref="L206" si="151">K206+J206</f>
        <v>326</v>
      </c>
      <c r="M206" s="9">
        <f t="shared" si="137"/>
        <v>9.7516664755205437E-4</v>
      </c>
    </row>
    <row r="207" spans="1:19" x14ac:dyDescent="0.2">
      <c r="A207" s="22" t="s">
        <v>432</v>
      </c>
      <c r="B207" s="4"/>
      <c r="C207" s="4"/>
      <c r="D207" s="27" t="s">
        <v>230</v>
      </c>
      <c r="E207" s="4"/>
      <c r="F207" s="3"/>
      <c r="G207" s="71"/>
      <c r="H207" s="71"/>
      <c r="I207" s="71"/>
      <c r="J207" s="5">
        <f>SUM(J208:J212)</f>
        <v>799.37040000000002</v>
      </c>
      <c r="K207" s="5">
        <f>SUM(K208:K212)</f>
        <v>3232.4616000000001</v>
      </c>
      <c r="L207" s="5">
        <f t="shared" ref="L207" si="152">SUM(L208:L212)</f>
        <v>4031.8320000000003</v>
      </c>
      <c r="M207" s="6">
        <f t="shared" si="137"/>
        <v>1.2060454278935873E-2</v>
      </c>
    </row>
    <row r="208" spans="1:19" ht="25.5" x14ac:dyDescent="0.2">
      <c r="A208" s="67" t="s">
        <v>472</v>
      </c>
      <c r="B208" s="56" t="str">
        <f>B89</f>
        <v xml:space="preserve"> 100701 </v>
      </c>
      <c r="C208" s="56" t="str">
        <f>C89</f>
        <v>SINAPI</v>
      </c>
      <c r="D208" s="54" t="str">
        <f>D89</f>
        <v>PORTA DE FERRO, DE ABRIR, TIPO COM CHAPA, COM GUARNIÇÕES. AF_12/2019</v>
      </c>
      <c r="E208" s="56" t="str">
        <f>E89</f>
        <v>m²</v>
      </c>
      <c r="F208" s="56">
        <f>0.8*2.1</f>
        <v>1.6800000000000002</v>
      </c>
      <c r="G208" s="74">
        <f>G89</f>
        <v>15.89</v>
      </c>
      <c r="H208" s="74">
        <f>H89</f>
        <v>676.58</v>
      </c>
      <c r="I208" s="55">
        <f t="shared" si="110"/>
        <v>692.47</v>
      </c>
      <c r="J208" s="55">
        <f t="shared" ref="J208" si="153">G208*F208</f>
        <v>26.695200000000003</v>
      </c>
      <c r="K208" s="55">
        <f t="shared" ref="K208" si="154">H208*F208</f>
        <v>1136.6544000000001</v>
      </c>
      <c r="L208" s="55">
        <f t="shared" ref="L208" si="155">K208+J208</f>
        <v>1163.3496000000002</v>
      </c>
      <c r="M208" s="34">
        <f t="shared" si="137"/>
        <v>3.4799378201319743E-3</v>
      </c>
    </row>
    <row r="209" spans="1:13" ht="38.25" x14ac:dyDescent="0.2">
      <c r="A209" s="67" t="s">
        <v>474</v>
      </c>
      <c r="B209" s="56" t="str">
        <f t="shared" ref="B209:C209" si="156">B92</f>
        <v xml:space="preserve"> 100741 </v>
      </c>
      <c r="C209" s="56" t="str">
        <f t="shared" si="156"/>
        <v>SINAPI</v>
      </c>
      <c r="D209" s="54" t="str">
        <f>D92</f>
        <v>PINTURA COM TINTA ALQUÍDICA DE ACABAMENTO (ESMALTE SINTÉTICO ACETINADO) PULVERIZADA SOBRE SUPERFÍCIES METÁLICAS (EXCETO PERFIL) EXECUTADO EM OBRA (POR DEMÃO). AF_01/2020_PE</v>
      </c>
      <c r="E209" s="56" t="str">
        <f>E92</f>
        <v>m²</v>
      </c>
      <c r="F209" s="56">
        <f>F208+F211+F212</f>
        <v>5.52</v>
      </c>
      <c r="G209" s="74">
        <f>G92</f>
        <v>11.56</v>
      </c>
      <c r="H209" s="74">
        <f>H92</f>
        <v>16.91</v>
      </c>
      <c r="I209" s="55">
        <f t="shared" si="110"/>
        <v>28.47</v>
      </c>
      <c r="J209" s="55">
        <f t="shared" ref="J209:J212" si="157">G209*F209</f>
        <v>63.811199999999999</v>
      </c>
      <c r="K209" s="55">
        <f t="shared" ref="K209:K212" si="158">H209*F209</f>
        <v>93.343199999999996</v>
      </c>
      <c r="L209" s="55">
        <f t="shared" ref="L209:L212" si="159">K209+J209</f>
        <v>157.15440000000001</v>
      </c>
      <c r="M209" s="34">
        <f t="shared" si="137"/>
        <v>4.7009732943575027E-4</v>
      </c>
    </row>
    <row r="210" spans="1:13" x14ac:dyDescent="0.2">
      <c r="A210" s="67" t="s">
        <v>475</v>
      </c>
      <c r="B210" s="56" t="str">
        <f t="shared" ref="B210:C210" si="160">B93</f>
        <v xml:space="preserve"> 150152 </v>
      </c>
      <c r="C210" s="56" t="str">
        <f t="shared" si="160"/>
        <v>SBC</v>
      </c>
      <c r="D210" s="54" t="str">
        <f>D93</f>
        <v>VIDRO CRISTAL PLANO INCOLOR 4mm COM BAGUETE DE NEOPRENE</v>
      </c>
      <c r="E210" s="56" t="str">
        <f>E93</f>
        <v>m²</v>
      </c>
      <c r="F210" s="56">
        <f>F211</f>
        <v>1.92</v>
      </c>
      <c r="G210" s="74">
        <f>G93</f>
        <v>17.71</v>
      </c>
      <c r="H210" s="74">
        <f>H93</f>
        <v>193.86</v>
      </c>
      <c r="I210" s="55">
        <f t="shared" si="110"/>
        <v>211.57000000000002</v>
      </c>
      <c r="J210" s="55">
        <f t="shared" si="157"/>
        <v>34.0032</v>
      </c>
      <c r="K210" s="55">
        <f t="shared" si="158"/>
        <v>372.21120000000002</v>
      </c>
      <c r="L210" s="55">
        <f t="shared" si="159"/>
        <v>406.21440000000001</v>
      </c>
      <c r="M210" s="34">
        <f t="shared" si="137"/>
        <v>1.2151126829305805E-3</v>
      </c>
    </row>
    <row r="211" spans="1:13" s="47" customFormat="1" ht="25.5" x14ac:dyDescent="0.2">
      <c r="A211" s="67" t="s">
        <v>476</v>
      </c>
      <c r="B211" s="56">
        <v>6103</v>
      </c>
      <c r="C211" s="56" t="s">
        <v>24</v>
      </c>
      <c r="D211" s="54" t="s">
        <v>473</v>
      </c>
      <c r="E211" s="56" t="str">
        <f>E94</f>
        <v>m²</v>
      </c>
      <c r="F211" s="56">
        <f>F212</f>
        <v>1.92</v>
      </c>
      <c r="G211" s="74">
        <v>35.58</v>
      </c>
      <c r="H211" s="74">
        <f>572.11-120</f>
        <v>452.11</v>
      </c>
      <c r="I211" s="55">
        <f t="shared" si="110"/>
        <v>487.69</v>
      </c>
      <c r="J211" s="55">
        <f t="shared" si="157"/>
        <v>68.313599999999994</v>
      </c>
      <c r="K211" s="55">
        <f t="shared" si="158"/>
        <v>868.05119999999999</v>
      </c>
      <c r="L211" s="55">
        <f t="shared" si="159"/>
        <v>936.36479999999995</v>
      </c>
      <c r="M211" s="34">
        <f t="shared" si="137"/>
        <v>2.8009562052200916E-3</v>
      </c>
    </row>
    <row r="212" spans="1:13" ht="26.25" thickBot="1" x14ac:dyDescent="0.25">
      <c r="A212" s="67" t="s">
        <v>477</v>
      </c>
      <c r="B212" s="56" t="str">
        <f>B96</f>
        <v xml:space="preserve"> 99861 </v>
      </c>
      <c r="C212" s="56" t="str">
        <f>C96</f>
        <v>SINAPI</v>
      </c>
      <c r="D212" s="54" t="str">
        <f>D96</f>
        <v>GRADIL EM FERRO FIXADO EM VÃOS DE JANELAS, FORMADO POR BARRAS CHATAS DE 25X4,8 MM. AF_04/2019</v>
      </c>
      <c r="E212" s="56" t="str">
        <f>E96</f>
        <v>m²</v>
      </c>
      <c r="F212" s="56">
        <f>0.4*1.2*4</f>
        <v>1.92</v>
      </c>
      <c r="G212" s="74">
        <f>G96</f>
        <v>315.91000000000003</v>
      </c>
      <c r="H212" s="74">
        <f>H96</f>
        <v>396.98</v>
      </c>
      <c r="I212" s="55">
        <f>H212+G212</f>
        <v>712.8900000000001</v>
      </c>
      <c r="J212" s="55">
        <f t="shared" si="157"/>
        <v>606.54719999999998</v>
      </c>
      <c r="K212" s="55">
        <f t="shared" si="158"/>
        <v>762.20159999999998</v>
      </c>
      <c r="L212" s="55">
        <f t="shared" si="159"/>
        <v>1368.7487999999998</v>
      </c>
      <c r="M212" s="34">
        <f t="shared" si="137"/>
        <v>4.0943502412174758E-3</v>
      </c>
    </row>
    <row r="213" spans="1:13" ht="15" thickBot="1" x14ac:dyDescent="0.25">
      <c r="A213" s="107" t="s">
        <v>400</v>
      </c>
      <c r="B213" s="108"/>
      <c r="C213" s="108"/>
      <c r="D213" s="108"/>
      <c r="E213" s="108"/>
      <c r="F213" s="108"/>
      <c r="G213" s="108"/>
      <c r="H213" s="108"/>
      <c r="I213" s="108"/>
      <c r="J213" s="35">
        <f>J176+J165+J154+J143+J140+J113+J99+J87+J81+J76+J64+J37+J31+J22+J15+J11+J159+J131+J184+J207</f>
        <v>86095.159150000007</v>
      </c>
      <c r="K213" s="35">
        <f>K176+K165+K154+K143+K140+K113+K99+K87+K81+K76+K64+K37+K31+K22+K15+K11+K159+K131+K184+K207</f>
        <v>248206.67614999998</v>
      </c>
      <c r="L213" s="35">
        <f>L176+L165+L154+L143+L140+L113+L99+L87+L81+L76+L64+L37+L31+L22+L15+L11+L159+L131+L184+L207</f>
        <v>334301.83529999998</v>
      </c>
      <c r="M213" s="36">
        <f t="shared" si="137"/>
        <v>1</v>
      </c>
    </row>
    <row r="214" spans="1:13" x14ac:dyDescent="0.2">
      <c r="A214" s="10"/>
      <c r="B214" s="10"/>
      <c r="C214" s="10"/>
      <c r="D214" s="10"/>
      <c r="E214" s="10"/>
      <c r="F214" s="10"/>
      <c r="G214" s="75"/>
      <c r="H214" s="75"/>
      <c r="I214" s="75"/>
      <c r="J214" s="75"/>
      <c r="K214" s="75"/>
      <c r="L214" s="75"/>
      <c r="M214" s="11"/>
    </row>
    <row r="215" spans="1:13" x14ac:dyDescent="0.2">
      <c r="A215" s="104"/>
      <c r="B215" s="104"/>
      <c r="C215" s="104"/>
      <c r="D215" s="28"/>
      <c r="E215" s="12"/>
      <c r="F215" s="12"/>
      <c r="G215" s="60"/>
      <c r="H215" s="60"/>
      <c r="I215" s="61"/>
      <c r="J215" s="59"/>
      <c r="K215" s="59"/>
      <c r="L215" s="59"/>
      <c r="M215" s="58"/>
    </row>
    <row r="216" spans="1:13" x14ac:dyDescent="0.2">
      <c r="A216" s="104"/>
      <c r="B216" s="104"/>
      <c r="C216" s="104"/>
      <c r="D216" s="28"/>
      <c r="E216" s="12"/>
      <c r="F216" s="12"/>
      <c r="G216" s="60"/>
      <c r="H216" s="60"/>
      <c r="I216" s="61"/>
      <c r="J216" s="60"/>
      <c r="K216" s="60"/>
      <c r="L216" s="59"/>
      <c r="M216" s="58"/>
    </row>
    <row r="217" spans="1:13" x14ac:dyDescent="0.2">
      <c r="A217" s="104"/>
      <c r="B217" s="104"/>
      <c r="C217" s="104"/>
      <c r="D217" s="28"/>
      <c r="E217" s="12"/>
      <c r="F217" s="12"/>
      <c r="G217" s="60"/>
      <c r="H217" s="60"/>
      <c r="I217" s="61"/>
      <c r="J217" s="59"/>
      <c r="K217" s="57"/>
      <c r="L217" s="59"/>
      <c r="M217" s="58"/>
    </row>
    <row r="218" spans="1:13" x14ac:dyDescent="0.2">
      <c r="A218" s="13"/>
      <c r="B218" s="13"/>
      <c r="C218" s="13"/>
      <c r="D218" s="13"/>
      <c r="E218" s="13"/>
      <c r="F218" s="13"/>
      <c r="G218" s="76"/>
      <c r="H218" s="76"/>
      <c r="I218" s="76"/>
      <c r="J218" s="76"/>
      <c r="K218" s="60"/>
      <c r="L218" s="60"/>
      <c r="M218" s="14"/>
    </row>
    <row r="219" spans="1:13" ht="78" customHeight="1" x14ac:dyDescent="0.2">
      <c r="A219" s="105" t="s">
        <v>515</v>
      </c>
      <c r="B219" s="106"/>
      <c r="C219" s="106"/>
      <c r="D219" s="106"/>
      <c r="E219" s="106"/>
      <c r="F219" s="106"/>
      <c r="G219" s="106"/>
      <c r="H219" s="106"/>
      <c r="I219" s="106"/>
      <c r="J219" s="106"/>
      <c r="K219" s="106"/>
      <c r="L219" s="106"/>
      <c r="M219" s="106"/>
    </row>
    <row r="221" spans="1:13" x14ac:dyDescent="0.2">
      <c r="M221" s="16"/>
    </row>
    <row r="224" spans="1:13" x14ac:dyDescent="0.2">
      <c r="K224" s="16">
        <f>J213/L213</f>
        <v>0.257537201591307</v>
      </c>
      <c r="L224" s="16">
        <f>K224*100</f>
        <v>25.753720159130701</v>
      </c>
      <c r="M224" s="16"/>
    </row>
  </sheetData>
  <mergeCells count="21">
    <mergeCell ref="E1:F1"/>
    <mergeCell ref="G1:I1"/>
    <mergeCell ref="J1:M1"/>
    <mergeCell ref="G2:I2"/>
    <mergeCell ref="J2:M2"/>
    <mergeCell ref="E2:F6"/>
    <mergeCell ref="A8:M8"/>
    <mergeCell ref="A9:A10"/>
    <mergeCell ref="B9:B10"/>
    <mergeCell ref="C9:C10"/>
    <mergeCell ref="D9:D10"/>
    <mergeCell ref="E9:E10"/>
    <mergeCell ref="F9:F10"/>
    <mergeCell ref="G9:I9"/>
    <mergeCell ref="J9:L9"/>
    <mergeCell ref="M9:M10"/>
    <mergeCell ref="A217:C217"/>
    <mergeCell ref="A219:M219"/>
    <mergeCell ref="A213:I213"/>
    <mergeCell ref="A215:C215"/>
    <mergeCell ref="A216:C216"/>
  </mergeCells>
  <phoneticPr fontId="23" type="noConversion"/>
  <pageMargins left="0.5" right="0.5" top="1" bottom="1" header="0.5" footer="0.5"/>
  <pageSetup paperSize="9" scale="72" fitToHeight="0" orientation="landscape" r:id="rId1"/>
  <headerFooter>
    <oddHeader>&amp;L &amp;CMunicípio de Ijuí - Pode Executivo
CNPJ: 90.738.196/0001-09 &amp;R</oddHeader>
    <oddFooter>&amp;L &amp;CRua Bnejamin Constant   - Centro - Ijuí / RS
55 3331 6100 / 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B482C-B6BE-4319-B7F1-69A274BF8090}">
  <sheetPr>
    <pageSetUpPr fitToPage="1"/>
  </sheetPr>
  <dimension ref="A3:N24"/>
  <sheetViews>
    <sheetView tabSelected="1" workbookViewId="0">
      <selection activeCell="B22" sqref="B22"/>
    </sheetView>
  </sheetViews>
  <sheetFormatPr defaultRowHeight="14.25" x14ac:dyDescent="0.2"/>
  <cols>
    <col min="1" max="1" width="5.625" customWidth="1"/>
    <col min="2" max="2" width="47.625" customWidth="1"/>
    <col min="3" max="3" width="12.75" customWidth="1"/>
    <col min="4" max="4" width="6.875" customWidth="1"/>
    <col min="5" max="5" width="11.625" customWidth="1"/>
    <col min="6" max="6" width="7" customWidth="1"/>
    <col min="7" max="7" width="11.25" customWidth="1"/>
    <col min="8" max="8" width="6.875" customWidth="1"/>
    <col min="9" max="9" width="11.25" customWidth="1"/>
    <col min="10" max="10" width="7.125" customWidth="1"/>
    <col min="11" max="11" width="10.375" customWidth="1"/>
    <col min="12" max="12" width="6.75" customWidth="1"/>
  </cols>
  <sheetData>
    <row r="3" spans="1:14" ht="15" thickBot="1" x14ac:dyDescent="0.25"/>
    <row r="4" spans="1:14" ht="15.75" thickBot="1" x14ac:dyDescent="0.3">
      <c r="A4" s="133" t="s">
        <v>483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5"/>
    </row>
    <row r="5" spans="1:14" x14ac:dyDescent="0.2">
      <c r="A5" s="77"/>
      <c r="L5" s="78"/>
    </row>
    <row r="6" spans="1:14" ht="15" x14ac:dyDescent="0.25">
      <c r="A6" s="77"/>
      <c r="B6" s="82" t="s">
        <v>496</v>
      </c>
      <c r="L6" s="78"/>
    </row>
    <row r="7" spans="1:14" ht="15" x14ac:dyDescent="0.25">
      <c r="A7" s="77"/>
      <c r="B7" s="82" t="s">
        <v>497</v>
      </c>
      <c r="L7" s="78"/>
    </row>
    <row r="8" spans="1:14" ht="15" x14ac:dyDescent="0.25">
      <c r="A8" s="77"/>
      <c r="B8" s="82" t="s">
        <v>498</v>
      </c>
      <c r="L8" s="78"/>
    </row>
    <row r="9" spans="1:14" x14ac:dyDescent="0.2">
      <c r="A9" s="77"/>
      <c r="L9" s="78"/>
    </row>
    <row r="10" spans="1:14" x14ac:dyDescent="0.2">
      <c r="A10" s="77"/>
      <c r="L10" s="78"/>
    </row>
    <row r="11" spans="1:14" x14ac:dyDescent="0.2">
      <c r="A11" s="132" t="s">
        <v>484</v>
      </c>
      <c r="B11" s="136" t="s">
        <v>499</v>
      </c>
      <c r="C11" s="138" t="s">
        <v>494</v>
      </c>
      <c r="D11" s="136" t="s">
        <v>495</v>
      </c>
      <c r="E11" s="136" t="s">
        <v>485</v>
      </c>
      <c r="F11" s="136" t="s">
        <v>486</v>
      </c>
      <c r="G11" s="136" t="s">
        <v>485</v>
      </c>
      <c r="H11" s="136" t="s">
        <v>487</v>
      </c>
      <c r="I11" s="136" t="s">
        <v>485</v>
      </c>
      <c r="J11" s="136" t="s">
        <v>492</v>
      </c>
      <c r="K11" s="136" t="s">
        <v>485</v>
      </c>
      <c r="L11" s="137" t="s">
        <v>493</v>
      </c>
      <c r="M11" s="81"/>
      <c r="N11" s="81"/>
    </row>
    <row r="12" spans="1:14" x14ac:dyDescent="0.2">
      <c r="A12" s="132"/>
      <c r="B12" s="136"/>
      <c r="C12" s="138"/>
      <c r="D12" s="136"/>
      <c r="E12" s="136"/>
      <c r="F12" s="136"/>
      <c r="G12" s="136"/>
      <c r="H12" s="136"/>
      <c r="I12" s="136"/>
      <c r="J12" s="136"/>
      <c r="K12" s="136"/>
      <c r="L12" s="137"/>
    </row>
    <row r="13" spans="1:14" x14ac:dyDescent="0.2">
      <c r="A13" s="96" t="s">
        <v>500</v>
      </c>
      <c r="B13" s="84" t="str">
        <f>ORCAMENTO!D11</f>
        <v>SERVIÇOS PRELIMINARES</v>
      </c>
      <c r="C13" s="97">
        <f>ORCAMENTO!L11</f>
        <v>2867.9934000000003</v>
      </c>
      <c r="D13" s="85">
        <f>C13/$C$16</f>
        <v>8.5790537088325704E-3</v>
      </c>
      <c r="E13" s="97">
        <f>C13*F13</f>
        <v>2867.9934000000003</v>
      </c>
      <c r="F13" s="85">
        <v>1</v>
      </c>
      <c r="G13" s="97">
        <f>H13*C13</f>
        <v>0</v>
      </c>
      <c r="H13" s="85">
        <v>0</v>
      </c>
      <c r="I13" s="97">
        <f>J13*C13</f>
        <v>0</v>
      </c>
      <c r="J13" s="85">
        <v>0</v>
      </c>
      <c r="K13" s="97">
        <f>C13*L13</f>
        <v>0</v>
      </c>
      <c r="L13" s="93">
        <f>1-J13-H13-F13</f>
        <v>0</v>
      </c>
      <c r="N13" s="80"/>
    </row>
    <row r="14" spans="1:14" x14ac:dyDescent="0.2">
      <c r="A14" s="96" t="s">
        <v>501</v>
      </c>
      <c r="B14" s="84" t="str">
        <f>ORCAMENTO!D14</f>
        <v>SERVIÇOS PRÉDIO ADMINISTRATIVO</v>
      </c>
      <c r="C14" s="97">
        <f>ORCAMENTO!L14</f>
        <v>277276.79850000003</v>
      </c>
      <c r="D14" s="85">
        <f t="shared" ref="D14:D16" si="0">C14/$C$16</f>
        <v>0.82942050931659961</v>
      </c>
      <c r="E14" s="97">
        <f t="shared" ref="E14:E15" si="1">C14*F14</f>
        <v>97046.879475000009</v>
      </c>
      <c r="F14" s="85">
        <v>0.35</v>
      </c>
      <c r="G14" s="97">
        <f>H14*C14</f>
        <v>69319.199625000008</v>
      </c>
      <c r="H14" s="85">
        <v>0.25</v>
      </c>
      <c r="I14" s="97">
        <f t="shared" ref="I14:I15" si="2">J14*C14</f>
        <v>55455.359700000008</v>
      </c>
      <c r="J14" s="85">
        <v>0.2</v>
      </c>
      <c r="K14" s="97">
        <f t="shared" ref="K14:K15" si="3">C14*L14</f>
        <v>55455.359700000023</v>
      </c>
      <c r="L14" s="93">
        <f t="shared" ref="L14:L15" si="4">1-J14-H14-F14</f>
        <v>0.20000000000000007</v>
      </c>
      <c r="N14" s="80"/>
    </row>
    <row r="15" spans="1:14" ht="15" customHeight="1" x14ac:dyDescent="0.2">
      <c r="A15" s="96" t="s">
        <v>502</v>
      </c>
      <c r="B15" s="84" t="str">
        <f>ORCAMENTO!D139</f>
        <v xml:space="preserve">CONSTRUÇÃO DE NOVO DEPÓSITO DE DEFENSIVOS AGRICOLAS </v>
      </c>
      <c r="C15" s="97">
        <f>ORCAMENTO!L139</f>
        <v>54157.043400000002</v>
      </c>
      <c r="D15" s="85">
        <f t="shared" si="0"/>
        <v>0.16200043697456781</v>
      </c>
      <c r="E15" s="97">
        <f t="shared" si="1"/>
        <v>10831.40868</v>
      </c>
      <c r="F15" s="85">
        <v>0.2</v>
      </c>
      <c r="G15" s="97">
        <f t="shared" ref="G15" si="5">H15*C15</f>
        <v>18954.965189999999</v>
      </c>
      <c r="H15" s="85">
        <v>0.35</v>
      </c>
      <c r="I15" s="97">
        <f t="shared" si="2"/>
        <v>18954.965189999999</v>
      </c>
      <c r="J15" s="85">
        <v>0.35</v>
      </c>
      <c r="K15" s="97">
        <f t="shared" si="3"/>
        <v>5415.704340000002</v>
      </c>
      <c r="L15" s="93">
        <f t="shared" si="4"/>
        <v>0.10000000000000003</v>
      </c>
      <c r="M15" s="79"/>
      <c r="N15" s="80"/>
    </row>
    <row r="16" spans="1:14" x14ac:dyDescent="0.2">
      <c r="A16" s="83"/>
      <c r="B16" s="86" t="s">
        <v>488</v>
      </c>
      <c r="C16" s="97">
        <f>C15+C14+C13</f>
        <v>334301.83530000004</v>
      </c>
      <c r="D16" s="85">
        <f t="shared" si="0"/>
        <v>1</v>
      </c>
      <c r="E16" s="97">
        <f>E15+E14+E13</f>
        <v>110746.28155500002</v>
      </c>
      <c r="F16" s="85">
        <f>E16/C16</f>
        <v>0.33127631936455604</v>
      </c>
      <c r="G16" s="97">
        <f>G13+G14+G15</f>
        <v>88274.164815000011</v>
      </c>
      <c r="H16" s="85">
        <f>G16/C16</f>
        <v>0.26405528027024866</v>
      </c>
      <c r="I16" s="97">
        <f>I15+I14+I13</f>
        <v>74410.324890000004</v>
      </c>
      <c r="J16" s="85">
        <f>I16/C16</f>
        <v>0.22258425480441865</v>
      </c>
      <c r="K16" s="97">
        <f>K15+K14+K13</f>
        <v>60871.064040000027</v>
      </c>
      <c r="L16" s="93">
        <f>K16/C16</f>
        <v>0.18208414556077676</v>
      </c>
      <c r="M16" s="79"/>
      <c r="N16" s="80"/>
    </row>
    <row r="17" spans="1:12" x14ac:dyDescent="0.2">
      <c r="A17" s="87"/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94"/>
    </row>
    <row r="18" spans="1:12" x14ac:dyDescent="0.2">
      <c r="A18" s="87"/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94"/>
    </row>
    <row r="19" spans="1:12" x14ac:dyDescent="0.2">
      <c r="A19" s="87"/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94"/>
    </row>
    <row r="20" spans="1:12" x14ac:dyDescent="0.2">
      <c r="A20" s="87"/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94"/>
    </row>
    <row r="21" spans="1:12" x14ac:dyDescent="0.2">
      <c r="A21" s="87"/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94"/>
    </row>
    <row r="22" spans="1:12" x14ac:dyDescent="0.2">
      <c r="A22" s="87"/>
      <c r="B22" s="101"/>
      <c r="C22" s="88"/>
      <c r="D22" s="88"/>
      <c r="E22" s="102"/>
      <c r="F22" s="88"/>
      <c r="G22" s="88"/>
      <c r="H22" s="100" t="s">
        <v>489</v>
      </c>
      <c r="I22" s="88"/>
      <c r="J22" s="88"/>
      <c r="K22" s="88"/>
      <c r="L22" s="94"/>
    </row>
    <row r="23" spans="1:12" x14ac:dyDescent="0.2">
      <c r="A23" s="87"/>
      <c r="B23" s="103"/>
      <c r="C23" s="88"/>
      <c r="D23" s="88"/>
      <c r="E23" s="99"/>
      <c r="F23" s="88"/>
      <c r="G23" s="88"/>
      <c r="H23" s="89" t="s">
        <v>490</v>
      </c>
      <c r="I23" s="88"/>
      <c r="J23" s="88"/>
      <c r="K23" s="88"/>
      <c r="L23" s="94"/>
    </row>
    <row r="24" spans="1:12" ht="15" thickBot="1" x14ac:dyDescent="0.25">
      <c r="A24" s="90"/>
      <c r="B24" s="91"/>
      <c r="C24" s="92"/>
      <c r="D24" s="92"/>
      <c r="E24" s="92"/>
      <c r="F24" s="92"/>
      <c r="G24" s="92"/>
      <c r="H24" s="91" t="s">
        <v>491</v>
      </c>
      <c r="I24" s="92"/>
      <c r="J24" s="92"/>
      <c r="K24" s="92"/>
      <c r="L24" s="95"/>
    </row>
  </sheetData>
  <mergeCells count="13">
    <mergeCell ref="A11:A12"/>
    <mergeCell ref="A4:L4"/>
    <mergeCell ref="H11:H12"/>
    <mergeCell ref="I11:I12"/>
    <mergeCell ref="J11:J12"/>
    <mergeCell ref="K11:K12"/>
    <mergeCell ref="L11:L12"/>
    <mergeCell ref="C11:C12"/>
    <mergeCell ref="B11:B12"/>
    <mergeCell ref="D11:D12"/>
    <mergeCell ref="E11:E12"/>
    <mergeCell ref="F11:F12"/>
    <mergeCell ref="G11:G12"/>
  </mergeCells>
  <pageMargins left="0.511811024" right="0.511811024" top="0.78740157499999996" bottom="0.78740157499999996" header="0.31496062000000002" footer="0.31496062000000002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ORCAMENTO</vt:lpstr>
      <vt:lpstr>CRONOGRAMA</vt:lpstr>
      <vt:lpstr>CRONOGRAMA!Area_de_impressao</vt:lpstr>
      <vt:lpstr>ORCAMENTO!Area_de_impressao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Usuario</cp:lastModifiedBy>
  <cp:revision>0</cp:revision>
  <cp:lastPrinted>2023-10-23T13:25:40Z</cp:lastPrinted>
  <dcterms:created xsi:type="dcterms:W3CDTF">2023-10-03T16:59:19Z</dcterms:created>
  <dcterms:modified xsi:type="dcterms:W3CDTF">2023-10-23T13:25:43Z</dcterms:modified>
</cp:coreProperties>
</file>