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521" yWindow="65521" windowWidth="14520" windowHeight="12165" firstSheet="3" activeTab="3"/>
  </bookViews>
  <sheets>
    <sheet name="PROPOSTA" sheetId="1" state="hidden" r:id="rId1"/>
    <sheet name="VALORES AJUSTADOS" sheetId="2" state="hidden" r:id="rId2"/>
    <sheet name="DEMONSTRAÇÃO QUANTITATIVOS" sheetId="3" state="hidden" r:id="rId3"/>
    <sheet name="Material e mão de obra drenagem" sheetId="4" r:id="rId4"/>
  </sheets>
  <definedNames>
    <definedName name="_xlnm.Print_Area" localSheetId="3">'Material e mão de obra drenagem'!$A$1:$R$43</definedName>
    <definedName name="_xlnm.Print_Area" localSheetId="0">'PROPOSTA'!$A$1:$X$268</definedName>
    <definedName name="_xlnm.Print_Area" localSheetId="1">'VALORES AJUSTADOS'!$A$1:$X$268</definedName>
    <definedName name="ORÇAMENTO.BancoRef" hidden="1">#REF!</definedName>
    <definedName name="REFERENCIA.Descricao" hidden="1">IF(ISNUMBER(#REF!),OFFSET(INDIRECT(ORÇAMENTO.BancoRef),#REF!-1,3,1),#REF!)</definedName>
    <definedName name="_xlnm.Print_Titles" localSheetId="0">'PROPOSTA'!$23:$25</definedName>
    <definedName name="_xlnm.Print_Titles" localSheetId="1">'VALORES AJUSTADOS'!$23:$25</definedName>
  </definedNames>
  <calcPr fullCalcOnLoad="1"/>
</workbook>
</file>

<file path=xl/sharedStrings.xml><?xml version="1.0" encoding="utf-8"?>
<sst xmlns="http://schemas.openxmlformats.org/spreadsheetml/2006/main" count="2284" uniqueCount="666">
  <si>
    <t>Item/Descrição</t>
  </si>
  <si>
    <t>Qtd.</t>
  </si>
  <si>
    <t>Un</t>
  </si>
  <si>
    <t>Total</t>
  </si>
  <si>
    <t>Total Material</t>
  </si>
  <si>
    <t>Total Mão-de-Obra</t>
  </si>
  <si>
    <t>Valor Unit. Material</t>
  </si>
  <si>
    <t>Valor Unit. Mão Obra</t>
  </si>
  <si>
    <t>Administração Central:</t>
  </si>
  <si>
    <t>Seguros e Garantias:</t>
  </si>
  <si>
    <t>Risco:</t>
  </si>
  <si>
    <t>Despesas financeiras:</t>
  </si>
  <si>
    <t>Lucro:</t>
  </si>
  <si>
    <t>Data:</t>
  </si>
  <si>
    <t>% Mão-de-Obra</t>
  </si>
  <si>
    <t>Valor Sinapi</t>
  </si>
  <si>
    <t>DESC</t>
  </si>
  <si>
    <t>Identificação do Proponente:</t>
  </si>
  <si>
    <t>CIMEC PRÉ-FABRICADOS DE CIMENTO EIRELE - ME</t>
  </si>
  <si>
    <t>CNPJ do Proponente:</t>
  </si>
  <si>
    <t>01.418.444/0001-04</t>
  </si>
  <si>
    <t>Inscrição Estadual do Proponente:</t>
  </si>
  <si>
    <t>Endereço do Proponente:</t>
  </si>
  <si>
    <t>Avenida Presidente Kennedy, nº 1560, Centro, Município de São Carlos, Estado de Santa Catarina, CEP 89.885-000</t>
  </si>
  <si>
    <t>Sra. Vilma Maria Thiesen</t>
  </si>
  <si>
    <t>site: www.cimec.ind.br | e-mail: licitacao@cimec.ind.br | Fone Contato: (49) 3325 4309; (49) 3325 5108; (49) 3325 4600; (49) 3325 4188</t>
  </si>
  <si>
    <t>Instituição Bancária do Proponente:</t>
  </si>
  <si>
    <t>Sócio(a) Administrador(a) empresa Proponente:</t>
  </si>
  <si>
    <t>253.362.660 / SC</t>
  </si>
  <si>
    <t>CNPJ do Cliente:</t>
  </si>
  <si>
    <t>Inscrição Estadual do Cliente:</t>
  </si>
  <si>
    <t>Isento / Não Informado</t>
  </si>
  <si>
    <t>Endereço do Cliente:</t>
  </si>
  <si>
    <t>Identificação do Cliente:</t>
  </si>
  <si>
    <t>Identificação da Obra:</t>
  </si>
  <si>
    <t>Dados do Proponente</t>
  </si>
  <si>
    <t>Dados da Obra</t>
  </si>
  <si>
    <t>Dados do Cliente</t>
  </si>
  <si>
    <t>Validade da Proposta:</t>
  </si>
  <si>
    <t>60 (sessenta) dias</t>
  </si>
  <si>
    <t>Local:</t>
  </si>
  <si>
    <t>Assinatura Responsável Técnico do Proponente</t>
  </si>
  <si>
    <t>Assinatura Sócio Administrador do Proponente</t>
  </si>
  <si>
    <t>Grupo</t>
  </si>
  <si>
    <t>%</t>
  </si>
  <si>
    <t>AC  →  Administração Central</t>
  </si>
  <si>
    <t>S  →  Seguro</t>
  </si>
  <si>
    <t xml:space="preserve">R    →  Riscos </t>
  </si>
  <si>
    <t>G     →  Garantia</t>
  </si>
  <si>
    <t>DF    →  Despesas Financeiras</t>
  </si>
  <si>
    <t>L  →  Taxa de Lucro/Remuneração</t>
  </si>
  <si>
    <t>AC</t>
  </si>
  <si>
    <t>S+G</t>
  </si>
  <si>
    <t>R</t>
  </si>
  <si>
    <t>DF</t>
  </si>
  <si>
    <t>L</t>
  </si>
  <si>
    <t>Sra. Rosangela Thiesen - CPF 020.465.439-47 - CAU A34929-1</t>
  </si>
  <si>
    <t>1</t>
  </si>
  <si>
    <t>1.1</t>
  </si>
  <si>
    <t>Descrição</t>
  </si>
  <si>
    <t>Item</t>
  </si>
  <si>
    <t>2</t>
  </si>
  <si>
    <t>2.1</t>
  </si>
  <si>
    <t>m²</t>
  </si>
  <si>
    <t>m³</t>
  </si>
  <si>
    <t>m</t>
  </si>
  <si>
    <t>kg</t>
  </si>
  <si>
    <t>TOTAL R$ ACUMULADO</t>
  </si>
  <si>
    <t>MÊS 01</t>
  </si>
  <si>
    <t>MÊS 02</t>
  </si>
  <si>
    <t>MÊS 03</t>
  </si>
  <si>
    <t>MÊS 04</t>
  </si>
  <si>
    <t>Prefeito em Exercício:</t>
  </si>
  <si>
    <t xml:space="preserve">Sra. Vilma Maria Thiesen - CPF 789.447.169-00 - RG 1.230.814-5 S.S.P.- SC  </t>
  </si>
  <si>
    <t>no mês</t>
  </si>
  <si>
    <t>acumulado</t>
  </si>
  <si>
    <t>TOTAL %</t>
  </si>
  <si>
    <t>I</t>
  </si>
  <si>
    <t>BDI COM DESONERAÇÃO:</t>
  </si>
  <si>
    <t>BDI Segundo Acórdão 2622/2013 do Tribunal de Contas da União – TCU,   o cálculo do BDI deve ser feito da seguinte maneira:</t>
  </si>
  <si>
    <t>I1) Pis:</t>
  </si>
  <si>
    <t>I2) Cofins:</t>
  </si>
  <si>
    <t xml:space="preserve">I3) ISSQN </t>
  </si>
  <si>
    <t>I4) CPRB</t>
  </si>
  <si>
    <t>=</t>
  </si>
  <si>
    <t>FÓRMULAS DE CÁLCULO</t>
  </si>
  <si>
    <t>(1 - I1 - I2 - I3 - I4)</t>
  </si>
  <si>
    <t>(1 - I1 - I2 - I3)</t>
  </si>
  <si>
    <t>I  →  Incidência de Impostos (PIS, COFINS e ISS) com ou</t>
  </si>
  <si>
    <t xml:space="preserve">         sem a incidência do CPRB</t>
  </si>
  <si>
    <t>Composição do BDI desta Proposta - BDI Com Desoneração da Folha de Pagamento</t>
  </si>
  <si>
    <t>BDI COM DESONERAÇÃO FOLHA PAG.</t>
  </si>
  <si>
    <t>BDI SEM DESONERAÇÃO FOLHA PAG.</t>
  </si>
  <si>
    <t>TOTAL NO MÊS R$</t>
  </si>
  <si>
    <t>SOMATÓRIO DE VALORES DA PROPOSTA (MATERIAL / MÃO DE OBRA / TOTAL GERAL)</t>
  </si>
  <si>
    <t>(49) 3325 5729 Lissandra</t>
  </si>
  <si>
    <t>Banco nº 748 (Sicredi), Agência nº 0230 (São Carlos, SC), Conta Corrente nº 31050-6</t>
  </si>
  <si>
    <t>Fone da Instituição Bancária:</t>
  </si>
  <si>
    <t>SENDO,</t>
  </si>
  <si>
    <t>E,</t>
  </si>
  <si>
    <t>O VALOR TOTAL DE MATERIAIS DE :</t>
  </si>
  <si>
    <t>O VALOR TOTAL DE MÃO DE OBRA DE :</t>
  </si>
  <si>
    <t>PAVIMENTAÇÃO</t>
  </si>
  <si>
    <t>EXECUÇÃO DE PASSEIO EM PISO INTERTRAVADO, COM BLOCO RETANGULAR COR NATURAL DE 20 X 10 CM, ESPESSURA 6 CM. AF_12/2015</t>
  </si>
  <si>
    <t>COD.</t>
  </si>
  <si>
    <t>SINAPI 92396</t>
  </si>
  <si>
    <t>REGULARIZACAO E COMPACTACAO DE SUBLEITO ATE 20 CM DE ESPESSURA</t>
  </si>
  <si>
    <t>EXECUÇÃO DE PAVIMENTO INTERTRAVADO</t>
  </si>
  <si>
    <t>VIGA DE TRAVAMENTO</t>
  </si>
  <si>
    <t>CONCRETAGEM DE VIGAS E LAJES, FCK=20 MPA</t>
  </si>
  <si>
    <t>SINAPI 92726</t>
  </si>
  <si>
    <t>MONTAGEM E DESMONTAGEM DE FÔRMA DE VIGA</t>
  </si>
  <si>
    <t>SINAPI 92463</t>
  </si>
  <si>
    <t>SINAPI 68053</t>
  </si>
  <si>
    <t>und.</t>
  </si>
  <si>
    <t>PISTA DE CAMINHADA</t>
  </si>
  <si>
    <t>2.1.1</t>
  </si>
  <si>
    <t>2.1.2</t>
  </si>
  <si>
    <t>2.2</t>
  </si>
  <si>
    <t>2.2.1</t>
  </si>
  <si>
    <t>2.2.2</t>
  </si>
  <si>
    <t>2.2.3</t>
  </si>
  <si>
    <t>5.1</t>
  </si>
  <si>
    <t>CAIACAO EM MEIO FIO</t>
  </si>
  <si>
    <t>SINAPI  83693</t>
  </si>
  <si>
    <t>SERVIÇOS INICIAIS</t>
  </si>
  <si>
    <t>PLACA DE OBRA EM CHAPA DE ACO GALVANIZADO</t>
  </si>
  <si>
    <t>SINAPI 74209/001</t>
  </si>
  <si>
    <t>SINAPI 78472</t>
  </si>
  <si>
    <t>SERVICOS TOPOGRAFICOS, INCLUSIVE NOTA DE SERVICOS, ACOMPANHAMENTO E GREIDE</t>
  </si>
  <si>
    <t>INSTALAÇÕES ELÉTRICAS</t>
  </si>
  <si>
    <t>POSTE DE ACO CONICO CONTINUO CURVO DUPLO, FLANGEADO, COM JANELA DE INSPECAO H=9M - FORNECIMENTO E INSTALACAO</t>
  </si>
  <si>
    <t>SINAPI 73769/003</t>
  </si>
  <si>
    <t>GUARDA-CORPO COM CORRIMAO EM TUBO DE ACO GALVANIZADO 1 1/2"</t>
  </si>
  <si>
    <t>SINAPI 84862</t>
  </si>
  <si>
    <t>COTAÇÃO</t>
  </si>
  <si>
    <t>REVESTIMENTO CERÂMICO PARA PISO COM PLACAS TIPO ESMALTADA EXTRA DE DIMENSÕES 45X45 CM APLICADA EM AMBIENTES DE ÁREA ENTRE 5 M2 E 10 M2. AF_0 6/2014</t>
  </si>
  <si>
    <t>REVESTIMENTO CERÂMICO PARA PAREDES INTERNAS COM PLACAS TIPO ESMALTADA EXTRA DE DIMENSÕES 33X45 CM APLICADAS EM AMBIENTES DE ÁREA MAIOR QUE 5 M² NA ALTURA INTEIRA DAS PAREDES. AF_06/2014</t>
  </si>
  <si>
    <t>SINAPI 87273</t>
  </si>
  <si>
    <t>SINAPI 87250</t>
  </si>
  <si>
    <t>CHAPISCO APLICADO EM ALVENARIAS E ESTRUTURAS DE CONCRETO INTERNAS, COM COLHER DE PEDREIRO. ARGAMASSA TRAÇO 1:3 COM PREPARO MANUAL. AF_06/2014</t>
  </si>
  <si>
    <t>SINAPI 87878</t>
  </si>
  <si>
    <t>EMBOÇO, PARA RECEBIMENTO DE CERÂMICA, EM ARGAMASSA TRAÇO 1:2:8, PREPARO MECÂNICO COM BETONEIRA 400L, APLICADO MANUALMENTE EM FACES INTERNAS DE PAREDES, PARA AMBIENTE COM ÁREA MENOR QUE 5M2, ESPESSURA DE 20MM, COM EXECUÇÃO DE TALISCAS. AF_06/2014</t>
  </si>
  <si>
    <t>SINAPI 87527</t>
  </si>
  <si>
    <t>ALVENARIA DE VEDAÇÃO DE BLOCOS CERÂMICOS FURADOS NA VERTICAL DE 9X19X39CM (ESPESSURA 9CM) DE PAREDES COM ÁREA LÍQUIDA MENOR QUE 6M² SEM VÃOSE ARGAMASSA DE ASSENTAMENTO COM PREPARO EM BETONEIRA. AF_06/2014</t>
  </si>
  <si>
    <t>SINAPI 87471</t>
  </si>
  <si>
    <t>FIXAÇÃO (ENCUNHAMENTO) DE ALVENARIA DE VEDAÇÃO COM ARGAMASSA APLICADA MCOM COLHER. AF_03/2016</t>
  </si>
  <si>
    <t>SINAPI 93201</t>
  </si>
  <si>
    <t>SINAPI 91325</t>
  </si>
  <si>
    <t>PORTA DE FERRO DE ABRIR TIPO BARRA CHATA, COM REQUADRO E GUARNICAO COMPLETA</t>
  </si>
  <si>
    <t>SINAPI 73933/004</t>
  </si>
  <si>
    <t>JANELA DE AÇO BASCULANTE, FIXAÇÃO COM ARGAMASSA, SEM VIDROS, PADRONIZADA. AF_07/2016</t>
  </si>
  <si>
    <t>SINAPI 94559</t>
  </si>
  <si>
    <t>JANELA DE AÇO DE CORRER, 2 FOLHAS, FIXAÇÃO COM ARGAMASSA, COM VIDROS, PADRONIZADA. AF_07/2016</t>
  </si>
  <si>
    <t>SINAPI 94560</t>
  </si>
  <si>
    <t>QUADRO DE DISTRIBUICAO DE ENERGIA DE EMBUTIR, EM CHAPA METALICA, PARA 18 DISJUNTORES TERMOMAGNETICOS MONOPOLARES, COM BARRAMENTO TRIFASICO NEUTRO, FORNECIMENTO E INSTALACAO</t>
  </si>
  <si>
    <t>SINAPI 74131/004</t>
  </si>
  <si>
    <t>DISJUNTOR MONOPOLAR TIPO DIN, CORRENTE NOMINAL DE 16A - FORNECIMENTO EINSTALAÇÃO. AF_04/2016</t>
  </si>
  <si>
    <t>DISJUNTOR MONOPOLAR TIPO DIN, CORRENTE NOMINAL DE 25A - FORNECIMENTO EINSTALAÇÃO. AF_04/2016</t>
  </si>
  <si>
    <t>DISJUNTOR MONOPOLAR TIPO DIN, CORRENTE NOMINAL DE 40A - FORNECIMENTO EINSTALAÇÃO. AF_04/2016</t>
  </si>
  <si>
    <t>DISJUNTOR MONOPOLAR TIPO DIN, CORRENTE NOMINAL DE 50A - FORNECIMENTO EINSTALAÇÃO. AF_04/2016</t>
  </si>
  <si>
    <t>CABO DE COBRE FLEXÍVEL ISOLADO, 2,5 MM², ANTI-CHAMA 450/750 V, PARA CIRCUITOS TERMINAIS - FORNECIMENTO E INSTALAÇÃO. AF_12/2015</t>
  </si>
  <si>
    <t>SINAPI 91926</t>
  </si>
  <si>
    <t>CABO DE COBRE FLEXÍVEL ISOLADO, 4 MM², ANTI-CHAMA 450/750 V, PARA CIRCUITOS TERMINAIS - FORNECIMENTO E INSTALAÇÃO. AF_12/2015</t>
  </si>
  <si>
    <t>SINAPI 91928</t>
  </si>
  <si>
    <t>CABO DE COBRE FLEXÍVEL ISOLADO, 16 MM², ANTI-CHAMA 450/750 V, PARA CIRCUITOS TERMINAIS - FORNECIMENTO E INSTALAÇÃO. AF_12/2015</t>
  </si>
  <si>
    <t>ENTRADA DE ENERGIA ELÉTRICA AÉREA MONOFÁSICA 50A COM POSTE DE CONCRETO, INCLUSIVE CABEAMENTO, CAIXA DE PROTEÇÃO PARA MEDIDOR E ATERRAMENTO.</t>
  </si>
  <si>
    <t>SINAPI 9540</t>
  </si>
  <si>
    <t>CAIXA DE PASSAGEM 30X30X40 COM TAMPA E DRENO BRITA</t>
  </si>
  <si>
    <t>SINAPI 83446</t>
  </si>
  <si>
    <t>HASTE DE ATERRAMENTO 5/8 PARA SPDA - FORNECIMENTO E INSTALAÇÃO. AF_12/2017</t>
  </si>
  <si>
    <t>SINAPI 96985</t>
  </si>
  <si>
    <t>RELE FOTOELETRICO P/ COMANDO DE ILUMINACAO EXTERNA 220V/1000W - FORNECIMENTO E INSTALACAO</t>
  </si>
  <si>
    <t>SINAPI 83399</t>
  </si>
  <si>
    <t>ELETRODUTO FLEXÍVEL CORRUGADO, PVC, DN 25 MM (3/4"), PARA CIRCUITOS TERMINAIS, INSTALADO EM FORRO - FORNECIMENTO E INSTALAÇÃO. AF_12/2015</t>
  </si>
  <si>
    <t>SINAPI 91834</t>
  </si>
  <si>
    <t>TOMADA MÉDIA DE EMBUTIR (1 MÓDULO), 2P+T 20 A, INCLUINDO SUPORTE E PLACA - FORNECIMENTO E INSTALAÇÃO. AF_12/2015</t>
  </si>
  <si>
    <t>SINAPI 91997</t>
  </si>
  <si>
    <t>TOMADA BAIXA DE EMBUTIR (1 MÓDULO), 2P+T 20 A, INCLUINDO SUPORTE E PLACA - FORNECIMENTO E INSTALAÇÃO. AF_12/2015</t>
  </si>
  <si>
    <t>INTERRUPTOR SIMPLES (2 MÓDULOS) COM 1 TOMADA DE EMBUTIR 2P+T 10 A, INCLUINDO SUPORTE E PLACA - FORNECIMENTO E INSTALAÇÃO. AF_12/2015</t>
  </si>
  <si>
    <t>SINAPI 92027</t>
  </si>
  <si>
    <t>SINAPI 92001</t>
  </si>
  <si>
    <t>LUMINÁRIA TIPO CALHA, DE SOBREPOR, COM 2 LÂMPADAS TUBULARES DE 18 W -FORNECIMENTO E INSTALAÇÃO. AF_11/2017</t>
  </si>
  <si>
    <t>SINAPI 97585</t>
  </si>
  <si>
    <t>INSTALAÇÕES HIDRÁULICAS</t>
  </si>
  <si>
    <t>TUBO, PVC, SOLDÁVEL, DN 25MM, INSTALADO EM RAMAL OU SUB-RAMAL DE ÁGUA- FORNECIMENTO E INSTALAÇÃO. AF_12/2014</t>
  </si>
  <si>
    <t>TUBO, PVC, SOLDÁVEL, DN 40MM, INSTALADO EM PRUMADA DE ÁGUA - FORNECIMENTO E INSTALAÇÃO. AF_12/2014</t>
  </si>
  <si>
    <t>SINAPI 89448</t>
  </si>
  <si>
    <t>SINAPI 89356</t>
  </si>
  <si>
    <t>TUBO PVC, SERIE NORMAL, ESGOTO PREDIAL, DN 40 MM, FORNECIDO E INSTALADO EM RAMAL DE DESCARGA OU RAMAL DE ESGOTO SANITÁRIO. AF_12/2014</t>
  </si>
  <si>
    <t>SINAPI 89711</t>
  </si>
  <si>
    <t>TUBO PVC, SERIE NORMAL, ESGOTO PREDIAL, DN 50 MM, FORNECIDO E INSTALADO EM RAMAL DE DESCARGA OU RAMAL DE ESGOTO SANITÁRIO. AF_12/2014</t>
  </si>
  <si>
    <t>SINAPI 89712</t>
  </si>
  <si>
    <t>SINAPI 89714</t>
  </si>
  <si>
    <t>TUBO PVC, SERIE NORMAL, ESGOTO PREDIAL, DN 100 MM, FORNECIDO E INSTALADO EM RAMAL DE DESCARGA OU RAMAL DE ESGOTO SANITÁRIO. AF_12/2014</t>
  </si>
  <si>
    <t>CAIXA DE INSPEÇÃO EM CONCRETO PRÉ-MOLDADO DN 60CM COM TAMPA H= 60CM -FORNECIMENTO E INSTALACAO</t>
  </si>
  <si>
    <t>SINAPI 74166/001</t>
  </si>
  <si>
    <t>REGISTRO DE GAVETA BRUTO, LATÃO, ROSCÁVEL, 1 1/4, INSTALADO EM RESERVAÇÃO DE ÁGUA DE EDIFICAÇÃO QUE POSSUA RESERVATÓRIO DE FIBRA/FIBROCIMENTO FORNECIMENTO E INSTALAÇÃO. AF_06/2016</t>
  </si>
  <si>
    <t>SINAPI  94496</t>
  </si>
  <si>
    <t>KIT CAVALETE PARA MEDIÇÃO DE ÁGUA - ENTRADA PRINCIPAL, EM PVC SOLDÁVELDN 25 (¾ ) FORNECIMENTO E INSTALAÇÃO (EXCLUSIVE HIDRÔMETRO). AF_11/2016</t>
  </si>
  <si>
    <t>SINAPI 95635</t>
  </si>
  <si>
    <t>SINAPI 98054</t>
  </si>
  <si>
    <t>VASO SANITÁRIO SIFONADO COM CAIXA ACOPLADA LOUÇA BRANCA - FORNECIMENTOE INSTALAÇÃO. AF_12/2013</t>
  </si>
  <si>
    <t>SINAPI 86888</t>
  </si>
  <si>
    <t>LAVATÓRIO LOUÇA BRANCA COM COLUNA, *44 X 35,5* CM, PADRÃO POPULAR - FORNECIMENTO E INSTALAÇÃO. AF_12/2013</t>
  </si>
  <si>
    <t>SINAPI 86902</t>
  </si>
  <si>
    <t>TORNEIRA CROMADA DE MESA, 1/2" OU 3/4", PARA LAVATÓRIO, PADRÃO POPULAR- FORNECIMENTO E INSTALAÇÃO. AF_12/2013</t>
  </si>
  <si>
    <t>SINAPI 86906</t>
  </si>
  <si>
    <t>SABONETEIRA PLASTICA TIPO DISPENSER PARA SABONETE LIQUIDO COM RESERVATORIO 800 A 1500 ML, INCLUSO FIXAÇÃO. AF_10/2016</t>
  </si>
  <si>
    <t>SINAPI 95547</t>
  </si>
  <si>
    <t>CAIXA SIFONADA, PVC, DN 100 X 100 X 50 MM, JUNTA ELÁSTICA, FORNECIDA EINSTALADA EM RAMAL DE DESCARGA OU EM RAMAL DE ESGOTO SANITÁRIO. AF_12/2014</t>
  </si>
  <si>
    <t>SINAPI 89707</t>
  </si>
  <si>
    <t>CAIXA D´ÁGUA EM POLIETILENO, 1000 LITROS, COM ACESSÓRIOS</t>
  </si>
  <si>
    <t>SINAPI 88503</t>
  </si>
  <si>
    <t>SINAPI 72961</t>
  </si>
  <si>
    <t>ARMAÇÃO DE ESTRUTURAS DE CONCRETO ARMADO, EXCETO VIGAS, PILARES, LAJES E FUNDAÇÕES, UTILIZANDO AÇO CA-50 DE 6,3 MM - MONTAGEM. AF_12/2015</t>
  </si>
  <si>
    <t>SINAPI 92916</t>
  </si>
  <si>
    <t>SINAPI 93654</t>
  </si>
  <si>
    <t>SINAPI 93656</t>
  </si>
  <si>
    <t>SINAPI 93658</t>
  </si>
  <si>
    <t>SINAPI 93659</t>
  </si>
  <si>
    <t>SINAPI 91934</t>
  </si>
  <si>
    <t xml:space="preserve">SINAPI 96358 </t>
  </si>
  <si>
    <t>PAREDE COM PLACAS DE GESSO ACARTONADO (DRYWALL), PARA USO INTERNO, COMDUAS FACES SIMPLES E ESTRUTURA METÁLICA COM GUIAS SIMPLES, SEM VÃOS. AF_06/2017_P</t>
  </si>
  <si>
    <t>REGISTRO DE GAVETA BRUTO, LATÃO, ROSCÁVEL, 1, INSTALADO EM RESERVAÇÃODE ÁGUA DE EDIFICAÇÃO QUE POSSUA RESERVATÓRIO DE FIBRA/FIBROCIMENTO FORNECIMENTO E INSTALAÇÃO. AF_06/2016</t>
  </si>
  <si>
    <t>SINAPI 94495</t>
  </si>
  <si>
    <t>INSTALAÇÕES ELÉTRICAS CAMPO DE FUTEBOL</t>
  </si>
  <si>
    <t>POSTE DE ACO CONICO CONTINUO RETO, ENGASTADO, H=9M - FORNECIMENTO E INSTALACAO</t>
  </si>
  <si>
    <t>SINAPI 73769/004</t>
  </si>
  <si>
    <t>REFLETOR LED COMPELTO 200W, LENTE 60º  (MÃO-DE-OBRA PARA REFLETOR LÂMPADA VAPOR)</t>
  </si>
  <si>
    <t>REFLETOR LED COMPLETO 200 W, LENTE 30º (MÃO DE OBRA PARA REFLETOR LÂMPADA VAPOR)</t>
  </si>
  <si>
    <t>CABO DE COBRE FLEXÍVEL ISOLADO, 1,5 MM², ANTI-CHAMA 450/750 V, PARA CIRCUITOS TERMINAIS - FORNECIMENTO E INSTALAÇÃO. AF_12/2015</t>
  </si>
  <si>
    <t>SINAPI 91924</t>
  </si>
  <si>
    <t>FORNECIMENTO/INSTALACAO LONA PLASTICA PRETA, PARA IMPERMEABILIZACAO, ESPESSURA 150 MICRAS.</t>
  </si>
  <si>
    <t>SINAPI 73855/001</t>
  </si>
  <si>
    <t>CHUMBADOR DE AÇO PARA FIXAÇÃO DE POSTE DE ACO RETO OU CURVO 7 A 9M COFLANGE - FORNECIMENTO E INSTALACAO</t>
  </si>
  <si>
    <t>SINAPI 93653</t>
  </si>
  <si>
    <t>DISJUNTOR MONOPOLAR TIPO DIN, CORRENTE NOMINAL DE 10A - FORNECIMENTO EINSTALAÇÃO. AF_04/2016</t>
  </si>
  <si>
    <t>LUMINÁRIA LED PARA ILUMINAÇÃO PÚBLICA COM LÂMPADA</t>
  </si>
  <si>
    <t>SINAPI 93008</t>
  </si>
  <si>
    <t>ELETRODUTO RÍGIDO ROSCÁVEL, PVC, DN 50 MM (1 1/2") - FORNECIMENTO E INSTALAÇÃO. AF_12/2015</t>
  </si>
  <si>
    <t>CONJUNTO PARA FUTSAL COM TRAVES OFICIAIS DE 3,00 X 2,00 M EM TUBO DE ACOGALVANIZADO 3" COM REQUADRO EM TUBO DE 1", PINTURA EM PRIMER COM TINTAESMALTE SINTETICO E REDES DE POLIETILENO FIO 4 MM</t>
  </si>
  <si>
    <t>TANQUE SÉPTICO CIRCULAR, EM CONCRETO PRÉ-MOLDADO, DIÂMETRO INTERNO = 1,40 M, ALTURA INTERNA = 2,50 M, VOLUME ÚTIL: 3463,6 L (PARA 13 CONTRIBUINTES). AF_05/2018</t>
  </si>
  <si>
    <t>FILTRO ANAERÓBIO RETANGULAR, EM ALVENARIA COM TIJOLOS CERÂMICOS MACIÇOS, DIMENSÕES INTERNAS: 1,2 X 1,8 X 1,67 M, VOLUME ÚTIL: 2592 L (PARA 13 CONTRIBUINTES). AF_05/2018</t>
  </si>
  <si>
    <t>SUMIDOURO RETANGULAR, EM ALVENARIA COM TIJOLOS CERÂMICOS MACIÇOS, DIMENSÕES INTERNAS: 1,0 X 3,0 X 3,0 M, ÁREA DE INFILTRAÇÃO: 25 M² (PARA 10CONTRIBUINTES). AF_05/2018</t>
  </si>
  <si>
    <t>SINAPI 98079</t>
  </si>
  <si>
    <t>SINAPI 98073</t>
  </si>
  <si>
    <t>10.1</t>
  </si>
  <si>
    <t>10.2</t>
  </si>
  <si>
    <t>10.3</t>
  </si>
  <si>
    <t>11.1</t>
  </si>
  <si>
    <t>11.2</t>
  </si>
  <si>
    <t>10.4</t>
  </si>
  <si>
    <t>APLICAÇÃO DE FUNDO SELADOR ACRÍLICO EM PISO, UMA DEMÃO</t>
  </si>
  <si>
    <t>RAMPAS E ESCADAS</t>
  </si>
  <si>
    <t>PINTURA ACRILICA EM PISO CIMENTADO DUAS DEMAOS</t>
  </si>
  <si>
    <t>SINAPI 88485</t>
  </si>
  <si>
    <t>SINAPI 74245</t>
  </si>
  <si>
    <t>PISO CIMENTADO, TRAÇO 1:3 (CIMENTO E AREIA), ACABAMENTO LISO, ESPESSURA 3,0 CM, PREPARO MECÂNICO DA ARGAMASSA. AF_06/2018</t>
  </si>
  <si>
    <t>SINAPI 98680</t>
  </si>
  <si>
    <t>10.5</t>
  </si>
  <si>
    <t>10.6</t>
  </si>
  <si>
    <t>10/09/2018 (dez de setembro de dois mil e dezoito)</t>
  </si>
  <si>
    <t>Ijuí - RS</t>
  </si>
  <si>
    <t>90.730.508/001-38</t>
  </si>
  <si>
    <t xml:space="preserve"> Rua Benjamin Constant Nº 429 Bairro Centro, Município de Ijuí - RS, CEP: 98700-000</t>
  </si>
  <si>
    <t>Sr. Valdir Heck</t>
  </si>
  <si>
    <t>Execução de Praça Esportiva e de Lazer Rodolfo Burmann</t>
  </si>
  <si>
    <t>O  Preço Global Para a Mão de Obra é de: R$</t>
  </si>
  <si>
    <t>O  Preço Global Para os Materiais é de: R$</t>
  </si>
  <si>
    <t>O  Preço Global Para a Obra, segundo a Planilha de Preços é de:  R$</t>
  </si>
  <si>
    <t>ESTA OBRA APRESENTA SEU PREÇO GLOBAL DE EXECUÇÃO DE:</t>
  </si>
  <si>
    <t>O  Preço Global Para a Obra, segundo a Planilha de Preços, é de:  R$</t>
  </si>
  <si>
    <t>O  Preço Global  Para a Mão de Obra é de: R$</t>
  </si>
  <si>
    <t>VALOR TOTAL</t>
  </si>
  <si>
    <t>CAMPO DE FUTEBOL SOCIETY</t>
  </si>
  <si>
    <t>ÁREA PARA COZINHA E BANHEIROS</t>
  </si>
  <si>
    <t>1.0</t>
  </si>
  <si>
    <t>2.0</t>
  </si>
  <si>
    <t>3.0</t>
  </si>
  <si>
    <t>4.0</t>
  </si>
  <si>
    <t>5.0</t>
  </si>
  <si>
    <t>6.0</t>
  </si>
  <si>
    <t>7.0</t>
  </si>
  <si>
    <t>8.0</t>
  </si>
  <si>
    <t>9.0</t>
  </si>
  <si>
    <t>10.0</t>
  </si>
  <si>
    <t>11.0</t>
  </si>
  <si>
    <t>MODALIDADES ESPORTIVAS</t>
  </si>
  <si>
    <t>2.2.4</t>
  </si>
  <si>
    <t>10.7</t>
  </si>
  <si>
    <t>10.8</t>
  </si>
  <si>
    <t>10.10</t>
  </si>
  <si>
    <t>10.11</t>
  </si>
  <si>
    <t>10.12</t>
  </si>
  <si>
    <t>KIT CAVALETE PVC COM REGISTRO 3/4" - FORNECIMENTO E INSTALACAO</t>
  </si>
  <si>
    <t>SINAPI 74218/001</t>
  </si>
  <si>
    <t>EXTINTOR DE PQS 4KG - FORNECIMENTO E INSTALACAO</t>
  </si>
  <si>
    <t>SINAPI 72553</t>
  </si>
  <si>
    <t>DISPOSITIVOS DE PREVENÇÃO DE INCÊNDIO E PÂNICO</t>
  </si>
  <si>
    <t>Cronograma Físico-Financeiro - página 1/1</t>
  </si>
  <si>
    <t>Orçamento</t>
  </si>
  <si>
    <t>3</t>
  </si>
  <si>
    <t>3.1</t>
  </si>
  <si>
    <t>PISTA</t>
  </si>
  <si>
    <t>2.1.3</t>
  </si>
  <si>
    <t>SINAPI 93679</t>
  </si>
  <si>
    <t>EXECUÇÃO DE PASSEIO EM PISO INTERTRAVADO, COM BLOCO RETANGULAR COLORID O DE 20 X 10 CM, ESPESSURA 6 CM. AF_12/2015</t>
  </si>
  <si>
    <t>3.2</t>
  </si>
  <si>
    <t>3.2.1</t>
  </si>
  <si>
    <t>3.2.2</t>
  </si>
  <si>
    <t>3.2.3</t>
  </si>
  <si>
    <t>9.1</t>
  </si>
  <si>
    <t>9.2</t>
  </si>
  <si>
    <t>8.1</t>
  </si>
  <si>
    <t>PÓRTICO DE ACESSO</t>
  </si>
  <si>
    <t>CONCRETAGEM DAS ESTRUTURAS FCK = 20 MPA</t>
  </si>
  <si>
    <t>ARMAÇÃO DE ESTRUTURAS DE CONCRETO ARMADO, EXCETO VIGAS, PILARES, LAJES E FUNDAÇÕES, UTILIZANDO AÇO CA-50 DE 8,0 MM - MONTAGEM</t>
  </si>
  <si>
    <t>ARMAÇÃO DE ESTRUTURAS DE CONCRETO ARMADO, EXCETO VIGAS, PILARES, LAJES E FUNDAÇÕES, UTILIZANDO AÇO CA-60 DE 5,0 MM - MONTAGEM</t>
  </si>
  <si>
    <t>SINAPI 92917</t>
  </si>
  <si>
    <t>SINAPI 92915</t>
  </si>
  <si>
    <t>ARMAÇÃO DE ESTRUTURAS DE CONCRETO ARMADO, EXCETO VIGAS, PILARES, LAJES E FUNDAÇÕES, UTILIZANDO AÇO CA-50 DE 10,0 MM - MONTAGEM.</t>
  </si>
  <si>
    <t>SINAPI 92919</t>
  </si>
  <si>
    <t>4.1</t>
  </si>
  <si>
    <t>4.1.1</t>
  </si>
  <si>
    <t>4.1.2</t>
  </si>
  <si>
    <t>4.1.3</t>
  </si>
  <si>
    <t>4.1.4</t>
  </si>
  <si>
    <t>4.1.5</t>
  </si>
  <si>
    <t>4.2</t>
  </si>
  <si>
    <t>4.2.1</t>
  </si>
  <si>
    <t>4.2.2</t>
  </si>
  <si>
    <t>4.2.3</t>
  </si>
  <si>
    <t>5.3</t>
  </si>
  <si>
    <t>5.2</t>
  </si>
  <si>
    <t>6.1</t>
  </si>
  <si>
    <t>6.2</t>
  </si>
  <si>
    <t>6.3</t>
  </si>
  <si>
    <t>6.4</t>
  </si>
  <si>
    <t>6.5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</si>
  <si>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</si>
  <si>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</si>
  <si>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</si>
  <si>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</si>
  <si>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</si>
  <si>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</si>
  <si>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</si>
  <si>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</si>
  <si>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</si>
  <si>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7.10</t>
  </si>
  <si>
    <t>7.11</t>
  </si>
  <si>
    <t>7.12</t>
  </si>
  <si>
    <t>7.13</t>
  </si>
  <si>
    <t>7.14</t>
  </si>
  <si>
    <t>7.15</t>
  </si>
  <si>
    <t>7.16</t>
  </si>
  <si>
    <t>7.17</t>
  </si>
  <si>
    <t>7.18</t>
  </si>
  <si>
    <t>7.19</t>
  </si>
  <si>
    <t>7.20</t>
  </si>
  <si>
    <t>7.21</t>
  </si>
  <si>
    <t>7.22</t>
  </si>
  <si>
    <t>7.23</t>
  </si>
  <si>
    <t>7.24</t>
  </si>
  <si>
    <t>7.25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</si>
  <si>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</si>
  <si>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</si>
  <si>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</si>
  <si>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</si>
  <si>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</si>
  <si>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</si>
  <si>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</si>
  <si>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</si>
  <si>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</si>
  <si>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</si>
  <si>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</si>
  <si>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</si>
  <si>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</si>
  <si>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</si>
  <si>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</si>
  <si>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</si>
  <si>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</si>
  <si>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</si>
  <si>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</si>
  <si>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8.21</t>
  </si>
  <si>
    <t>9.2.1</t>
  </si>
  <si>
    <t>9.2.2</t>
  </si>
  <si>
    <t>9.2.3</t>
  </si>
  <si>
    <t>9.2.4</t>
  </si>
  <si>
    <t>10.13</t>
  </si>
  <si>
    <t>BANCOS E MESAS</t>
  </si>
  <si>
    <t>RAMPAS, CORRIMÃOS, GUARDA CORPO E PROTEÇÕES</t>
  </si>
  <si>
    <r>
      <rPr>
        <u val="single"/>
        <sz val="10"/>
        <color indexed="8"/>
        <rFont val="Arial"/>
        <family val="2"/>
      </rPr>
      <t>BDI COM DESONERAÇÃO</t>
    </r>
    <r>
      <rPr>
        <sz val="10"/>
        <color indexed="8"/>
        <rFont val="Arial"/>
        <family val="2"/>
      </rPr>
      <t xml:space="preserve">:                                   ( 1 + AC + S+G +R) x (1+DF) x (1+L) </t>
    </r>
  </si>
  <si>
    <r>
      <rPr>
        <u val="single"/>
        <sz val="10"/>
        <color indexed="8"/>
        <rFont val="Arial"/>
        <family val="2"/>
      </rPr>
      <t>BDI SEM DESONERAÇÃO</t>
    </r>
    <r>
      <rPr>
        <sz val="10"/>
        <color indexed="8"/>
        <rFont val="Arial"/>
        <family val="2"/>
      </rPr>
      <t xml:space="preserve">:                                    ( 1 + AC + S+G +R) x (1+DF) x (1+L) </t>
    </r>
  </si>
  <si>
    <t>MUNICÍPIO DE IJUÍ - RS</t>
  </si>
  <si>
    <t>MAT.</t>
  </si>
  <si>
    <t>M.O.</t>
  </si>
  <si>
    <t>PLACA DE OBRA COM PADRÃO DO GOVERNO FEDERAL, 2,50 m²</t>
  </si>
  <si>
    <t>1.2</t>
  </si>
  <si>
    <t>1.3</t>
  </si>
  <si>
    <t>1.4</t>
  </si>
  <si>
    <t>ENTRADA DE ENERGIA ELÉTRICA 1 UND</t>
  </si>
  <si>
    <t>KIT DE CAVALETE PARA O HIDROMETRO 1UND</t>
  </si>
  <si>
    <t>SERVIÇOS TOPOGRÁFICOS PARA A LOCAÇÃO CORRETA DE TODAS AS ATIVIDADES REFERENTE A ÁREA TOTAL 8330,00 M²</t>
  </si>
  <si>
    <t>VIGAS DE 12x20CM =  (( 7,07+2,66+18,1+16,67+9,02+7,08 )x0,20)x2 + (( 7,07+2,66+18,1+16,67+9,02+7,08 )x0,12) = 31,51 m²</t>
  </si>
  <si>
    <t>ÁREA DA PISTA = PERÍMETRO X LARGURA = 234,00 X 4,30 = 1006,20 M²</t>
  </si>
  <si>
    <t>VOL. = 234 x 3 x 0,12 x 0,2 = 16,84 m³</t>
  </si>
  <si>
    <t>(234 x 0,12 + (234 x 0,20) x 2) x 3 = 365,04 m²</t>
  </si>
  <si>
    <t>ÁREA = 32X52 = 1664,00 m²</t>
  </si>
  <si>
    <t>5,95 x 0,25 + 3 x 0,25 x 0,50 + 3 x 0,6 x 0,6 x 0,6 = 2,51 m³</t>
  </si>
  <si>
    <t>((18 x 4) - (12 x 3,5)) x 2 = 60 m x 0,617 kg/m = 37,02 kg</t>
  </si>
  <si>
    <t>2,96 x 6 x 0,395 = 6,92 kg</t>
  </si>
  <si>
    <t>(1,46 x 20) + (14 x 4,54) / 2 = 60,98 m x 0,15 kg/m = 9,14 kg</t>
  </si>
  <si>
    <t>1 und, DE ACORDO COM O PROJETO</t>
  </si>
  <si>
    <t>6 und, DE ACORDO COM O PROJETO</t>
  </si>
  <si>
    <t>16 und, DE ACORDO COM O PROJETO</t>
  </si>
  <si>
    <t>12 und, DE ACORDO COM O PROJETO</t>
  </si>
  <si>
    <t>08 und, DE ACORDO COM O PROJETO</t>
  </si>
  <si>
    <t>7 und, DE ACORDO COM O PROJETO</t>
  </si>
  <si>
    <t>2 und, DE ACORDO COM O PROJETO</t>
  </si>
  <si>
    <t>5 und, DE ACORDO COM O PROJETO</t>
  </si>
  <si>
    <t>METROS LINEARES, CALCULADOS ATRAVÉS DE SOFTWARE COMPUTACIONAL AUTOCAD</t>
  </si>
  <si>
    <t>ÁREA CALCULADA COM SOFTWARE COMPUTACIONAL AUTOCAD (ÁREA CHIMARRÃO + ÁREA APRESENTAÇÕES + ÁREA LIXEIRAS)</t>
  </si>
  <si>
    <t>ÁREA CALCULADA COM SOFTWARE COMPUTACIONAL AUTOCAD</t>
  </si>
  <si>
    <t>20 und, DE ACORDO COM O PROJETO</t>
  </si>
  <si>
    <t>3 und, DE ACORDO COM O PROJETO</t>
  </si>
  <si>
    <t>4 und, DE ACORDO COM O PROJETO</t>
  </si>
  <si>
    <t>56,89 m x 2,50 m = 142,22 m²</t>
  </si>
  <si>
    <t>3,53 + 12,02 + 12,02 + 3,53 + 23,91 = 55,01 m²</t>
  </si>
  <si>
    <t>PAREDE COM PLACAS DE GESSO ACARTONADO (DRYWALL), PARA USO INTERNO, COM DUAS FACES SIMPLES E ESTRUTURA METÁLICA COM GUIAS SIMPLES, SEM VÃOS. AF_06/2017_P</t>
  </si>
  <si>
    <t>( 1,35 x 2+ 1,9 ) x 2 = 9,2 m²</t>
  </si>
  <si>
    <t>(2,3 + 1,78 + 4,88 + 1,78 + 2,3 + 4,88) = 17,92 m</t>
  </si>
  <si>
    <t>(2,3 + 1,78 + 4,88 + 1,78 + 2,3 + 4,88) x 2,5 = 44,80 m²</t>
  </si>
  <si>
    <t>KIT DE PORTA DE MADEIRA PARA VERNIZ, SEMI-OCA (LEVE OU MÉDIA), PADRÃOPOPULAR, 60X210CM, ESPESSURA DE 3,5CM, ITENS INCLUSOS: DOBRADIÇAS, MONTAGEM E INSTALAÇÃO DO BATENTE, SEM FECHADURA - FORNECIMENTO E INSTALAÇÃO. AF_08/2015</t>
  </si>
  <si>
    <t>0,80 x 2,10 x 6 und = 10,08 m²</t>
  </si>
  <si>
    <t>0,7 x 0,5 + 2 x 0,5 + 0,7 x 0,5 + 1 x 0,5 + 1 x 0,5 = 2,70 m²</t>
  </si>
  <si>
    <t>( 3,10 x 1,0 ) x 2 = 6,20 m²</t>
  </si>
  <si>
    <t>15 und, DE ACORDO COM O PROJETO</t>
  </si>
  <si>
    <t>36 und, DE ACORDO COM O PROJETO</t>
  </si>
  <si>
    <t>ÁREA CALCULADA COM SOFTWARE COMPUTACIONAL AUTOCAD (TODA A ÁREA DE CIRCULAÇÃO DA PRAÇA, REPRESENTADA COM HACHURA ESPECIFICA EM PROJETO, ONDE É PREVISTO O PAVER, EXCETO O PASSEIO PÚBLICO)</t>
  </si>
  <si>
    <t>Os encargos sociais atendem aos percentuais estabelecido no SINAPI para o estado do RS para mão de obra horista e mensalista;</t>
  </si>
  <si>
    <t>O regime de tributação adotado para a folha de pagamento é DESONERADO, pois, a opção adotada é a mais adequada para a administração pública.</t>
  </si>
  <si>
    <t>QCI - QUADRO DE COMPOSIÇÃO DO INVESTIMENTO</t>
  </si>
  <si>
    <t>REPASSE FEDERAL</t>
  </si>
  <si>
    <t>REPASSE ESTADUAL</t>
  </si>
  <si>
    <t>CONTRAPARTIDA MUNICIPAL</t>
  </si>
  <si>
    <t>EXECUÇÃO</t>
  </si>
  <si>
    <t>EF ou AD</t>
  </si>
  <si>
    <t xml:space="preserve">REPASSE </t>
  </si>
  <si>
    <t>OS ou FIN</t>
  </si>
  <si>
    <t>R$</t>
  </si>
  <si>
    <t>TOTAL  R$</t>
  </si>
  <si>
    <t>EF</t>
  </si>
  <si>
    <t xml:space="preserve"> EF </t>
  </si>
  <si>
    <t>FIN</t>
  </si>
  <si>
    <t>EF: Execução ou fornecimento a contratar;  AD: Administração direta pelo tomador</t>
  </si>
  <si>
    <t>OS: Obras e serviços;   FIN: Financeira;</t>
  </si>
  <si>
    <t>DECLARAÇÕES</t>
  </si>
  <si>
    <t xml:space="preserve">ROSANGELA THIESEN </t>
  </si>
  <si>
    <t>CIMEC PRÉ FABRICADOS DE CIMENTO</t>
  </si>
  <si>
    <t>CNPJ: 01.418.444/0001-04</t>
  </si>
  <si>
    <t>RESPONSÁVEL TÉCNICA</t>
  </si>
  <si>
    <t>ARQUITETA E URBANISTA</t>
  </si>
  <si>
    <t>CAU A34929-1</t>
  </si>
  <si>
    <t>_____________________________________</t>
  </si>
  <si>
    <t>SINAPI DATA BASE 06/2018 (MÊS/ANO) DE PORTO ALEGRE - RS</t>
  </si>
  <si>
    <t>A aliquota de ISS considerada é de 2,00% e está de acordo com a legislação municipal, para serviços da construção civil. Este percentual é incidente sobre o valor total deste orçamento;</t>
  </si>
  <si>
    <t xml:space="preserve">REFLETOR LED COMPLETO 200 W, LENTE 30º </t>
  </si>
  <si>
    <t xml:space="preserve">REFLETOR LED COMPELTO 200 W, LENTE 60º  </t>
  </si>
  <si>
    <t>SINAPI 97051</t>
  </si>
  <si>
    <t>SINALIZAÇÃO COM FITA FIXADA NA ESTRUTURA, SINALIZAÇÃO DO CAMINHO DOS ELETRODUTOS SUBTERRÂNEOS</t>
  </si>
  <si>
    <t>SINAPI 35276</t>
  </si>
  <si>
    <t>6.6</t>
  </si>
  <si>
    <t>PILAR DE MADEIRA NAO APARELHADA *40 X 40* CM, MACARANDUBA, ANGELIM OU EQUIVALENTE DA REGIAO</t>
  </si>
  <si>
    <t>GRAMA SINTÉTICA ESPORTIVA PARA FUTEBOL EM POLIETILENO, COM ALTURA MINIMA DE 50MM (FORNECIMENTO E COLOCAÇÃO)</t>
  </si>
  <si>
    <t>BANCO DE MADEIRA C/ESTRUTURA DE FERRO</t>
  </si>
  <si>
    <t>BANCO DE MADEIRA C/ASSENTO FIXADO EM CONCRETO</t>
  </si>
  <si>
    <t>MESA DE MADEIRA C/ESTRUTURA DE FERRO</t>
  </si>
  <si>
    <t>ÁREA = 50x30 = 1500,00 m²</t>
  </si>
  <si>
    <t>METROS LINEARES = 3 x 3,5 = 10,50 m</t>
  </si>
  <si>
    <t>3.1.1</t>
  </si>
  <si>
    <t>3.1.2</t>
  </si>
  <si>
    <t>3.2.4</t>
  </si>
  <si>
    <t>ÁREA DA PISTA = PERÍMETRO X LARGURA = 234,00 X 4,00 = 936,00 m²</t>
  </si>
  <si>
    <t>AÇO = ((234 x 3) x 0,245)*4 = 687,96 kg</t>
  </si>
  <si>
    <t>(6x4,5) + (12x3) + (4x6) + (10,5x3) - (1,50 x 1,50 x 2) = 114,00 m²</t>
  </si>
  <si>
    <t>TOTAL UNIT.</t>
  </si>
  <si>
    <t>SINAPI 25398</t>
  </si>
  <si>
    <t>10,33</t>
  </si>
  <si>
    <t>0,69</t>
  </si>
  <si>
    <t>1,04</t>
  </si>
  <si>
    <t>7,38</t>
  </si>
  <si>
    <t>TOTAL SINAPI</t>
  </si>
  <si>
    <t>BARRA DE APOIO LAVATORIO DE CANTO, EM ACO INOX POLIDO, DIAMETRO MINIMO 3 CM.</t>
  </si>
  <si>
    <t>SINAPI 36212</t>
  </si>
  <si>
    <t>BARRA DE APOIO ANGULAR, 60 CM, EM ACO INOX POLIDO, DIAMETRO MINIMO 3 CM PARA LAVATÓRIO</t>
  </si>
  <si>
    <t>SINAPI 36214</t>
  </si>
  <si>
    <t>BARRA DE APOIO RETA, EM ALUMINIO, COMPRIMENTO 80 CM, DIAMETRO MINIMO 3 CM</t>
  </si>
  <si>
    <t>SINAPI 36080</t>
  </si>
  <si>
    <t>SINAPI 96616</t>
  </si>
  <si>
    <t>4.2.4</t>
  </si>
  <si>
    <t>LASTRO DE CONCRETO MAGRO, APLICADO EM BLOCOS DE COROAMENTO OU SAPATAS</t>
  </si>
  <si>
    <t>SINAPI 79480</t>
  </si>
  <si>
    <t>ESCAVACAO MECANICA CAMPO ABERTO EM SOLO EXCETO ROCHA ATE 2,00M PROFUNDIDADE</t>
  </si>
  <si>
    <t>4.2.5</t>
  </si>
  <si>
    <t>(0,60 x 0,60 x 0,6) x 6 = 1,29 m³</t>
  </si>
  <si>
    <t>(0,60 x 0,60 x 0,05) x 6 = 0,11 m³</t>
  </si>
  <si>
    <t>SINAPI 96522</t>
  </si>
  <si>
    <t>ESCAVAÇÃO MANUAL PARA BLOCO DE COROAMENTO OU SAPATA, SEM PREVISÃO DE FÔRMA</t>
  </si>
  <si>
    <t>4.2.6</t>
  </si>
  <si>
    <t>SINAPI 97644</t>
  </si>
  <si>
    <t>REMOÇÃO DE PORTAS, DE FORMA MANUAL, SEM REAPROVEITAMENTO.</t>
  </si>
  <si>
    <t>SINAPI 97645</t>
  </si>
  <si>
    <t>REMOÇÃO DE JANELAS, DE FORMA MANUAL, SEM REAPROVEITAMENTO.</t>
  </si>
  <si>
    <t>80 x 210 = 1,68 m²</t>
  </si>
  <si>
    <t>(1,10 x 0,60 + 0,58 x 0,60 + 1,40 x 1,00 + 3,10 x 1,00) = 5,50 m²</t>
  </si>
  <si>
    <t>SINAPI 12271</t>
  </si>
  <si>
    <t>LUMINARIA DUPLA P/SINALIZACAO LED SAÍDA</t>
  </si>
  <si>
    <t>LUMINÁRIA LED PARA ILUMINAÇÃO PÚBLICA COM LÂMPADA 200 W</t>
  </si>
  <si>
    <t>GRAMA SINTÉTICA ESPORTIVA PARA FUTEBOL MONOFILAMENTOS 50 MM (FORNECIMENTO E INSTALAÇÃO)</t>
  </si>
  <si>
    <t>SINAPI 35275</t>
  </si>
  <si>
    <t>VIGA DE MADEIRA NAO APARELHADA *15 X 15* CM, MACARANDUBA, ANGELIM OU EQUIVALENTE DA REGIAO</t>
  </si>
  <si>
    <t>7.26</t>
  </si>
  <si>
    <t>11 x 2,4 + 10,75 x 2 = 47,90 m</t>
  </si>
  <si>
    <t>10.9</t>
  </si>
  <si>
    <t>4.1.6</t>
  </si>
  <si>
    <t>ALAMBRADO E VIGA DE BORDA</t>
  </si>
  <si>
    <t>4.3</t>
  </si>
  <si>
    <t>4.3.1</t>
  </si>
  <si>
    <t>4.3.2</t>
  </si>
  <si>
    <t>4.3.3</t>
  </si>
  <si>
    <t>4.3.4</t>
  </si>
  <si>
    <t>SINAPI 74244/001</t>
  </si>
  <si>
    <t>ALAMBRADO PARA QUADRA POLIESPORTIVA, ESTRUTURADO POR TUBOS DE ACO GALVANIZADO, COM COSTURA, DIN 2440, DIAMETRO 2", COM TELA DE ARAME GALVANIZADO, FIO 14 BWG E MALHA QUADRADA 5X5CM</t>
  </si>
  <si>
    <t>4.3.5</t>
  </si>
  <si>
    <t>4.3.6</t>
  </si>
  <si>
    <t>CONCRETAGEM DE VIGAS E ESTACAS, FCK=20 MPA</t>
  </si>
  <si>
    <t>ARMAÇÃO DE ESTRUTURAS DE CONCRETO ARMADO, VIGAS, PILARES, LAJES E FUNDAÇÕES, UTILIZANDO AÇO CA-60 DE 5,0 MM - MONTAGEM</t>
  </si>
  <si>
    <t>ARMAÇÃO DAS VIGAS DE TRAVAMENTO DE 12x20CM (( 7,07+2,66+18,1+16,67+9,02+7,08 )x4)x0,245 = 59,38 kg</t>
  </si>
  <si>
    <t>(52 x 2 x 4+32 x 2 x 4) x 0,245</t>
  </si>
  <si>
    <t>(52 x 0,3 x 2 x 2 + 32 x 0,3 x 2 x 2) = 100,80 m²</t>
  </si>
  <si>
    <t>6 x 52 x 2 + 6 x 32 x 2 = 1008,00 m²</t>
  </si>
  <si>
    <t>SINAPI 92739</t>
  </si>
  <si>
    <t>2.2.5</t>
  </si>
  <si>
    <t>VIGAS DE 12x20CM =  ((7,07+2,66+18,1+16,67+9,02+7,08 )x0,20)x2 = 24,24 m²</t>
  </si>
  <si>
    <t>ARMAÇÃO DAS VIGAS DE TRAVAMENTO DE 12x20CM ((7,07+2,66+18,1+16,67+9,02+7,08 )/0,20)x0,53 = 160,59</t>
  </si>
  <si>
    <t>((234/0,2)X0,53)X0,154 = 95,49 kg</t>
  </si>
  <si>
    <t>3.2.5</t>
  </si>
  <si>
    <t>VOL. = ((234 x 3) x 0,20) x 2 = 180,80 m²</t>
  </si>
  <si>
    <t>VIGAS DE TRAVAMENTO DE 12x20CM ( 7,07x0,12x0,2+2,66x0,12x0,2+18,1x0,12x0,2+16,67x0,12x0,2+9,02x0,12x0,2+7,08x0,12x0,2 + 62x0,12x0,2 ) = 2,94 m³</t>
  </si>
  <si>
    <t>SINAPI 72183</t>
  </si>
  <si>
    <t>PISO EM CONCRETO 20MPA PREPARO MECANICO, ESPESSURA 7 CM, COM ARMACAO EM TELA SOLDADA</t>
  </si>
  <si>
    <t>26,84</t>
  </si>
  <si>
    <t>9.2.5</t>
  </si>
  <si>
    <t>SINAPI 87499</t>
  </si>
  <si>
    <t xml:space="preserve">ALVENARIA DE VEDAÇÃO DE BLOCOS CERÂMICOS FURADOS NA HORIZONTAL DE 9X14X19CM (ESPESSURA 9CM) DE PAREDES COM ÁREA LÍQUIDA MENOR QUE 6M² SEM VÃOS E ARGAMASSA DE ASSENTAMENTO COM PREPARO EM BETONEIRA. </t>
  </si>
  <si>
    <t>36,70</t>
  </si>
  <si>
    <t>2,47x2 + 1,80x2 + 1,10x1,50 + 2,47x2 + 0,55x1,50 + 3x0,55 +1,50x0,90 + 1,68x2 + 1,50x0,45 + 3x0,45 = 24,34 m²</t>
  </si>
  <si>
    <t>9.2.6</t>
  </si>
  <si>
    <t>SINAPI 87529</t>
  </si>
  <si>
    <t>MASSA ÚNICA, PARA RECEBIMENTO DE PINTURA, EM ARGAMASSA TRAÇO 1:2:8, PREPARO MECÂNICO COM BETONEIRA 400L, APLICADA MANUALMENTE EM FACES INTERNAS DE PAREDES, ESPESSURA DE 20MM, COM EXECUÇÃO DE TALISCAS.</t>
  </si>
  <si>
    <t>10,64</t>
  </si>
  <si>
    <t>4.2.7</t>
  </si>
  <si>
    <t>(0,60 x 0,60 x 0,05) x 12 = 1,29 m³</t>
  </si>
  <si>
    <t>(0,60 x 0,60 x 0,6) x 12 = 1,29 m³</t>
  </si>
  <si>
    <t>(0,60 x 0,60 x 0,6) x 12 = 2,59 m³</t>
  </si>
  <si>
    <t>SINAPI 90877</t>
  </si>
  <si>
    <t>ESTACA ESCAVADA MECANICAMENTE, SEM FLUIDO ESTABILIZANTE, COM 25 CM DE DIÂMETRO, ATÉ 9 M DE COMPRIMENTO, CONCRETO LANÇADO POR CAMINHÃO BETONEIRA (EXCLUSIVE MOBILIZAÇÃO E DESMOBILIZAÇÃO)</t>
  </si>
  <si>
    <t>27 x 2 x 2 + 15 x 2 x 2 = 168 m</t>
  </si>
  <si>
    <t>((52/0,20) x 2 x 0,8+(32/0,20) x 2 x 0,8) x 0,154 = 132,59 kg</t>
  </si>
  <si>
    <t>(52 x 2 + 32 x 2) x 0,12 x 0,25 = 4,03</t>
  </si>
  <si>
    <t>SINAPI 95240</t>
  </si>
  <si>
    <t>LASTRO DE CONCRETO MAGRO, APLICADO EM PISOS OU RADIERS, ESPESSURA DE 3 CM</t>
  </si>
  <si>
    <t>FALTA</t>
  </si>
  <si>
    <t>P.O. LICITAÇÃO</t>
  </si>
  <si>
    <t>FOI PAGO</t>
  </si>
  <si>
    <t>NOVA P.O.</t>
  </si>
  <si>
    <t>FALTA / SOBRA</t>
  </si>
  <si>
    <t>UN</t>
  </si>
  <si>
    <t>1.2.1</t>
  </si>
  <si>
    <t>1.2.1.1</t>
  </si>
  <si>
    <t>1.2.2</t>
  </si>
  <si>
    <t>1.2.2.1</t>
  </si>
  <si>
    <t>1.3.1</t>
  </si>
  <si>
    <t>1.3.1.1</t>
  </si>
  <si>
    <t>1.3.2.1</t>
  </si>
  <si>
    <t>1.1.1</t>
  </si>
  <si>
    <t>M2</t>
  </si>
  <si>
    <t>M3</t>
  </si>
  <si>
    <t>1.3.2</t>
  </si>
  <si>
    <t>1.1.2</t>
  </si>
  <si>
    <t>1.1.3</t>
  </si>
  <si>
    <t>1.1.1.1</t>
  </si>
  <si>
    <t>1.1.2.1</t>
  </si>
  <si>
    <t>1.1.2.2</t>
  </si>
  <si>
    <t>1.1.2.3</t>
  </si>
  <si>
    <t>1.1.2.4</t>
  </si>
  <si>
    <t>1.1.3.1</t>
  </si>
  <si>
    <t>1.1.3.2</t>
  </si>
  <si>
    <t>1.1.3.3</t>
  </si>
  <si>
    <t>1.1.3.4</t>
  </si>
  <si>
    <t>1.1.3.5</t>
  </si>
  <si>
    <t>1.1.3.6</t>
  </si>
  <si>
    <t>Valor Unit. Material (com BDI)</t>
  </si>
  <si>
    <t>Valor Unit. Mão Obra (com BDI)</t>
  </si>
  <si>
    <t>M</t>
  </si>
  <si>
    <t>M3XKM</t>
  </si>
  <si>
    <t xml:space="preserve">CONE DE SINALIZACAO EM PVC RIGIDO COM FAIXA REFLETIVA, H = 70 / 76 CM
</t>
  </si>
  <si>
    <t>SINAPI DATA BASE 04/2022 (MÊS/ANO) DE PORTO ALEGRE - RS</t>
  </si>
  <si>
    <t>DRENAGEM PLUVIAL</t>
  </si>
  <si>
    <t>SINALIZAÇÃO</t>
  </si>
  <si>
    <t>90 (noventa) dias</t>
  </si>
  <si>
    <t>SINAPI 99063</t>
  </si>
  <si>
    <t>SINAPI 90100</t>
  </si>
  <si>
    <t>SINAPI 97912</t>
  </si>
  <si>
    <t>SINAPI 101619</t>
  </si>
  <si>
    <t xml:space="preserve">LOCAÇÃO DE REDE DE ÁGUA OU ESGOTO. AF_10/2018
</t>
  </si>
  <si>
    <t>SINAPI 92223</t>
  </si>
  <si>
    <t>SINAPI 99257</t>
  </si>
  <si>
    <t>1.1.2.5</t>
  </si>
  <si>
    <t>1.1.2.6</t>
  </si>
  <si>
    <t>1.1.2.7</t>
  </si>
  <si>
    <t xml:space="preserve">TRANSPORTE COM CAMINHÃO BASCULANTE DE 6 M³, EM VIA URBANA EM LEITO NATURAL (UNIDADE: M3XKM). AF_07/2020
</t>
  </si>
  <si>
    <t xml:space="preserve">PREPARO DE FUNDO DE VALA COM LARGURA MENOR QUE 1,5 M, COM CAMADA DE BRITA, LANÇAMENTO MANUAL. AF_08/2020
</t>
  </si>
  <si>
    <t xml:space="preserve">TUBO DE CONCRETO PARA REDES COLETORAS DE ÁGUAS PLUVIAIS, DIÂMETRO DE 800 MM, JUNTA RÍGIDA, INSTALADO EM LOCAL COM ALTO NÍVEL DE INTERFERÊNCIAS - FORNECIMENTO E ASSENTAMENTO. AF_12/2015
</t>
  </si>
  <si>
    <t xml:space="preserve">CAIXA ENTERRADA HIDRÁULICA RETANGULAR EM ALVENARIA COM TIJOLOS CERÂMICOS MACIÇOS, DIMENSÕES INTERNAS: 1X1X0,6 M PARA REDE DE DRENAGEM. AF_12/2020
</t>
  </si>
  <si>
    <t>SINAPI 97951</t>
  </si>
  <si>
    <t xml:space="preserve">ESCAVAÇÃO MECANIZADA DE VALA COM PROF. ATÉ 1,5 M (MÉDIA MONTANTE E JUSANTE/UMA COMPOSIÇÃO POR TRECHO), RETROESCAV. (0,26 M3), LARG. DE 0,8 M A 1,5 M, EM SOLO DE 1A CATEGORIA, EM LOCAIS COM ALTO NÍVEL DE INTERFERÊNCIA. AF_02/2021
</t>
  </si>
  <si>
    <t>Paulo Roberto Neubauer</t>
  </si>
  <si>
    <t>CREA/RS 79675D</t>
  </si>
  <si>
    <t xml:space="preserve">CAIXA PARA BOCA DE LOBO COMBINADA COM GRELHA RETANGULAR, EM ALVENARIA COM TIJOLOS CERÂMICOS MACIÇOS, DIMENSÕES INTERNAS: 1,3X1X1,2 M. AF_12/2020
</t>
  </si>
  <si>
    <t>SINAPI 90108</t>
  </si>
  <si>
    <t>SINAPI 90106</t>
  </si>
  <si>
    <t>SINAPI 90105</t>
  </si>
  <si>
    <t>LOCAÇÃO DE REDE DE ÁGUA OU ESGOTO. AF_10/2018</t>
  </si>
  <si>
    <t xml:space="preserve">ESCAVAÇÃO MECANIZADA DE VALA COM PROFUNDIDADE MAIOR QUE 1,5 M ATÉ 3,0 M (MÉDIA MONTANTE E JUSANTE/UMA COMPOSIÇÃO POR TRECHO), RETROESCAV (0,26 M3), LARGURA DE 0,8 M A 1,5 M, EM SOLO DE 1A CATEGORIA, LOCAIS COM BAIXO NÍVEL DE INTERFERÊNCIA. AF_02/2021
</t>
  </si>
  <si>
    <t xml:space="preserve">ESCAVAÇÃO MECANIZADA DE VALA COM PROFUNDIDADE ATÉ 1,5 M (MÉDIA MONTANTE E JUSANTE/UMA COMPOSIÇÃO POR TRECHO), RETROESCAV. (0,26 M3), LARGURA DE 0,8 M A 1,5 M, EM SOLO DE 1A CATEGORIA, LOCAIS COM BAIXO NÍVEL DE INTERFERÊNCIA. AF_02/2021
</t>
  </si>
  <si>
    <t xml:space="preserve">ESCAVAÇÃO MECANIZADA DE VALA COM PROFUNDIDADE ATÉ 1,5 M (MÉDIA MONTANTE E JUSANTE/UMA COMPOSIÇÃO POR TRECHO), RETROESCAV. (0,26 M3), LARGURA MENOR QUE 0,8 M, EM SOLO DE 1A CATEGORIA, LOCAIS COM BAIXO NÍVEL DE INTERFERÊNCIA. AF_02/2021
</t>
  </si>
  <si>
    <t>SINAPI 92211</t>
  </si>
  <si>
    <t xml:space="preserve">TUBO DE CONCRETO PARA REDES COLETORAS DE ÁGUAS PLUVIAIS, DIÂMETRO DE 500 MM, JUNTA RÍGIDA, INSTALADO EM LOCAL COM BAIXO NÍVEL DE INTERFERÊNCIAS - FORNECIMENTO E ASSENTAMENTO. AF_12/2015
</t>
  </si>
  <si>
    <t>SINAPI 92214</t>
  </si>
  <si>
    <t xml:space="preserve">TUBO DE CONCRETO PARA REDES COLETORAS DE ÁGUAS PLUVIAIS, DIÂMETRO DE 800 MM, JUNTA RÍGIDA, INSTALADO EM LOCAL COM BAIXO NÍVEL DE INTERFERÊNCIAS - FORNECIMENTO E ASSENTAMENTO. AF_12/2015
</t>
  </si>
  <si>
    <t>SINAPI 92216</t>
  </si>
  <si>
    <t xml:space="preserve">TUBO DE CONCRETO PARA REDES COLETORAS DE ÁGUAS PLUVIAIS, DIÂMETRO DE 1000 MM, JUNTA RÍGIDA, INSTALADO EM LOCAL COM BAIXO NÍVEL DE INTERFERÊNCIAS - FORNECIMENTO E ASSENTAMENTO. AF_12/2015
</t>
  </si>
  <si>
    <t xml:space="preserve">CAIXA PARA BOCA DE LOBO COMBINADA COM GRELHA RETANGULAR, EM ALVENARIA COM TIJOLOS CERÂMICOS MACIÇOS, DIMENSÕES INTERNAS: 1,3X1X1,2 M. AF_12/2020 </t>
  </si>
  <si>
    <t>SERVIÇOS FINAIS</t>
  </si>
  <si>
    <t>COMPACTAÇÃO DO SOLO - AVENIDA SÃO LUIZ</t>
  </si>
  <si>
    <t>COMPACTAÇÃO DO SOLO - RUA TRECHO 01</t>
  </si>
  <si>
    <t>REMOÇÃO DA PAVIMENTAÇÃO</t>
  </si>
  <si>
    <t>RECAPILAMENTO DA PAVIMENTAÇÃO</t>
  </si>
  <si>
    <t>SINAPI 93382</t>
  </si>
  <si>
    <t xml:space="preserve">REATERRO MANUAL DE VALAS COM COMPACTAÇÃO MECANIZADA. AF_04/2016
</t>
  </si>
  <si>
    <t>REATERRO MANUAL DE VALAS COM COMPACTAÇÃO MECANIZADA. AF_04/2016</t>
  </si>
  <si>
    <t xml:space="preserve">FRESAGEM DE PAVIMENTO ASFÁLTICO (PROFUNDIDADE ATÉ 5,0 CM) - EXCLUSIVE TRANSPORTE. AF_11/2019
</t>
  </si>
  <si>
    <t>SINAPI 96001</t>
  </si>
  <si>
    <t>SINAPI 95995</t>
  </si>
  <si>
    <t xml:space="preserve">EXECUÇÃO DE PAVIMENTO COM APLICAÇÃO DE CONCRETO ASFÁLTICO, CAMADA DE ROLAMENTO - EXCLUSIVE CARGA E TRANSPORTE. AF_11/2019
</t>
  </si>
  <si>
    <t>SINAPI-I 13244</t>
  </si>
  <si>
    <t>BDI SEM DESONERAÇÃO:</t>
  </si>
  <si>
    <t>EXECUÇÃO DRENAGEM PLUVIAL - AVENIDA SÃO LUIZ</t>
  </si>
  <si>
    <t>EXECUÇÃO DRENAGEM PLUVIAL - RUA TRECHO 01</t>
  </si>
  <si>
    <t>ENGENHEIRO CIVIL</t>
  </si>
  <si>
    <t>TOTAL DA OBRA:</t>
  </si>
  <si>
    <t>____________________________________________</t>
  </si>
  <si>
    <t>Drenagem Pluvial Avenida São Luiz com Trecho 01 - BDI 20,84% Não Desonerado</t>
  </si>
  <si>
    <t>Ijuí, 20 de junho de 2022</t>
  </si>
</sst>
</file>

<file path=xl/styles.xml><?xml version="1.0" encoding="utf-8"?>
<styleSheet xmlns="http://schemas.openxmlformats.org/spreadsheetml/2006/main">
  <numFmts count="5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00.00"/>
    <numFmt numFmtId="179" formatCode="0,000.00"/>
    <numFmt numFmtId="180" formatCode="00.00"/>
    <numFmt numFmtId="181" formatCode="00,000.00"/>
    <numFmt numFmtId="182" formatCode="000,000.00"/>
    <numFmt numFmtId="183" formatCode="0.0000%"/>
    <numFmt numFmtId="184" formatCode="[$-416]dddd\,\ d&quot; de &quot;mmmm&quot; de &quot;yyyy"/>
    <numFmt numFmtId="185" formatCode="0.0"/>
    <numFmt numFmtId="186" formatCode="0.000%"/>
    <numFmt numFmtId="187" formatCode="0.0%"/>
    <numFmt numFmtId="188" formatCode="#,##0.000"/>
    <numFmt numFmtId="189" formatCode="#,##0.0000"/>
    <numFmt numFmtId="190" formatCode="&quot;R$&quot;\ #,##0.00"/>
    <numFmt numFmtId="191" formatCode="_-[$R$-416]\ * #,##0.00_-;\-[$R$-416]\ * #,##0.00_-;_-[$R$-416]\ * &quot;-&quot;??_-;_-@_-"/>
    <numFmt numFmtId="192" formatCode="&quot;Vrai&quot;;&quot;Vrai&quot;;&quot;Faux&quot;"/>
    <numFmt numFmtId="193" formatCode="&quot;Actif&quot;;&quot;Actif&quot;;&quot;Inactif&quot;"/>
    <numFmt numFmtId="194" formatCode="[$€-2]\ #,##0.00_);[Red]\([$€-2]\ #,##0.00\)"/>
    <numFmt numFmtId="195" formatCode="#,##0.00000"/>
    <numFmt numFmtId="196" formatCode="#,##0.000000"/>
    <numFmt numFmtId="197" formatCode="#,##0.0000000"/>
    <numFmt numFmtId="198" formatCode="#,##0.0"/>
    <numFmt numFmtId="199" formatCode="0.000000000"/>
    <numFmt numFmtId="200" formatCode="0.00000000"/>
    <numFmt numFmtId="201" formatCode="0.0000000"/>
    <numFmt numFmtId="202" formatCode="0.000000"/>
    <numFmt numFmtId="203" formatCode="0.00000"/>
    <numFmt numFmtId="204" formatCode="0.0000"/>
    <numFmt numFmtId="205" formatCode="0.000"/>
    <numFmt numFmtId="206" formatCode="_(* #,##0.000_);_(* \(#,##0.000\);_(* &quot;-&quot;??_);_(@_)"/>
    <numFmt numFmtId="207" formatCode="&quot;Sim&quot;;&quot;Sim&quot;;&quot;Não&quot;"/>
    <numFmt numFmtId="208" formatCode="&quot;Verdadeiro&quot;;&quot;Verdadeiro&quot;;&quot;Falso&quot;"/>
    <numFmt numFmtId="209" formatCode="&quot;Ativado&quot;;&quot;Ativado&quot;;&quot;Desativado&quot;"/>
    <numFmt numFmtId="210" formatCode="_-[$R$-416]\ * #,##0.0_-;\-[$R$-416]\ * #,##0.0_-;_-[$R$-416]\ * &quot;-&quot;??_-;_-@_-"/>
  </numFmts>
  <fonts count="74"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i/>
      <sz val="10"/>
      <color indexed="8"/>
      <name val="Arial"/>
      <family val="0"/>
    </font>
    <font>
      <b/>
      <i/>
      <u val="single"/>
      <sz val="10"/>
      <color indexed="8"/>
      <name val="Arial"/>
      <family val="0"/>
    </font>
    <font>
      <sz val="14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name val="Arial"/>
      <family val="2"/>
    </font>
    <font>
      <sz val="6.5"/>
      <color indexed="8"/>
      <name val="Arial"/>
      <family val="2"/>
    </font>
    <font>
      <sz val="6.9"/>
      <color indexed="8"/>
      <name val="Arial"/>
      <family val="2"/>
    </font>
    <font>
      <b/>
      <sz val="6.9"/>
      <color indexed="8"/>
      <name val="Arial"/>
      <family val="2"/>
    </font>
    <font>
      <b/>
      <sz val="6.5"/>
      <color indexed="8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u val="single"/>
      <sz val="6.5"/>
      <color indexed="8"/>
      <name val="Arial"/>
      <family val="2"/>
    </font>
    <font>
      <sz val="6.9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10"/>
      <name val="Arial"/>
      <family val="2"/>
    </font>
    <font>
      <i/>
      <u val="single"/>
      <sz val="10"/>
      <color indexed="8"/>
      <name val="Arial"/>
      <family val="2"/>
    </font>
    <font>
      <b/>
      <sz val="6.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8"/>
      <name val="Arial"/>
      <family val="2"/>
    </font>
    <font>
      <sz val="7"/>
      <color indexed="8"/>
      <name val="Calibri"/>
      <family val="2"/>
    </font>
    <font>
      <b/>
      <sz val="7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6.9"/>
      <color indexed="8"/>
      <name val="Calibri"/>
      <family val="2"/>
    </font>
    <font>
      <b/>
      <sz val="6.9"/>
      <color indexed="8"/>
      <name val="Calibri"/>
      <family val="2"/>
    </font>
    <font>
      <sz val="7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rgb="FF000000"/>
      <name val="Arial"/>
      <family val="2"/>
    </font>
    <font>
      <sz val="11"/>
      <color theme="1"/>
      <name val="Arial"/>
      <family val="2"/>
    </font>
    <font>
      <sz val="7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0" fillId="29" borderId="1" applyNumberFormat="0" applyAlignment="0" applyProtection="0"/>
    <xf numFmtId="0" fontId="61" fillId="30" borderId="0" applyNumberFormat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62" fillId="31" borderId="0" applyNumberFormat="0" applyBorder="0" applyAlignment="0" applyProtection="0"/>
    <xf numFmtId="0" fontId="54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0" fontId="4" fillId="0" borderId="0" applyNumberFormat="0" applyBorder="0">
      <alignment horizontal="center" vertical="top"/>
      <protection locked="0"/>
    </xf>
    <xf numFmtId="0" fontId="63" fillId="21" borderId="5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9" applyNumberFormat="0" applyFill="0" applyAlignment="0" applyProtection="0"/>
  </cellStyleXfs>
  <cellXfs count="747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horizontal="center" vertical="center"/>
    </xf>
    <xf numFmtId="4" fontId="6" fillId="0" borderId="0" xfId="0" applyNumberFormat="1" applyFont="1" applyFill="1" applyBorder="1" applyAlignment="1" applyProtection="1">
      <alignment horizontal="right" vertical="center"/>
      <protection locked="0"/>
    </xf>
    <xf numFmtId="0" fontId="6" fillId="3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5" fillId="0" borderId="0" xfId="0" applyFont="1" applyFill="1" applyBorder="1" applyAlignment="1" applyProtection="1">
      <alignment horizontal="left" vertical="center"/>
      <protection locked="0"/>
    </xf>
    <xf numFmtId="4" fontId="0" fillId="0" borderId="0" xfId="0" applyNumberFormat="1" applyBorder="1" applyAlignment="1">
      <alignment vertical="center"/>
    </xf>
    <xf numFmtId="4" fontId="0" fillId="0" borderId="0" xfId="0" applyNumberFormat="1" applyBorder="1" applyAlignment="1">
      <alignment horizontal="center" vertical="center"/>
    </xf>
    <xf numFmtId="3" fontId="6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right" vertical="center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right" vertical="center"/>
      <protection locked="0"/>
    </xf>
    <xf numFmtId="0" fontId="6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0" fillId="0" borderId="11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vertical="center"/>
    </xf>
    <xf numFmtId="4" fontId="6" fillId="0" borderId="11" xfId="0" applyNumberFormat="1" applyFont="1" applyFill="1" applyBorder="1" applyAlignment="1" applyProtection="1">
      <alignment horizontal="right" vertical="center"/>
      <protection locked="0"/>
    </xf>
    <xf numFmtId="0" fontId="6" fillId="33" borderId="11" xfId="0" applyFont="1" applyFill="1" applyBorder="1" applyAlignment="1">
      <alignment vertical="center"/>
    </xf>
    <xf numFmtId="0" fontId="6" fillId="0" borderId="11" xfId="0" applyFont="1" applyFill="1" applyBorder="1" applyAlignment="1" applyProtection="1">
      <alignment horizontal="left" vertical="center"/>
      <protection locked="0"/>
    </xf>
    <xf numFmtId="4" fontId="0" fillId="7" borderId="11" xfId="0" applyNumberFormat="1" applyFill="1" applyBorder="1" applyAlignment="1">
      <alignment vertical="center"/>
    </xf>
    <xf numFmtId="0" fontId="0" fillId="7" borderId="11" xfId="0" applyFill="1" applyBorder="1" applyAlignment="1">
      <alignment vertical="center"/>
    </xf>
    <xf numFmtId="0" fontId="0" fillId="33" borderId="11" xfId="0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4" fontId="5" fillId="0" borderId="11" xfId="0" applyNumberFormat="1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4" fontId="0" fillId="7" borderId="0" xfId="0" applyNumberFormat="1" applyFill="1" applyBorder="1" applyAlignment="1">
      <alignment vertical="center"/>
    </xf>
    <xf numFmtId="0" fontId="0" fillId="7" borderId="0" xfId="0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4" fontId="5" fillId="0" borderId="0" xfId="0" applyNumberFormat="1" applyFont="1" applyFill="1" applyBorder="1" applyAlignment="1" applyProtection="1">
      <alignment horizontal="right" vertical="center"/>
      <protection locked="0"/>
    </xf>
    <xf numFmtId="4" fontId="5" fillId="0" borderId="11" xfId="0" applyNumberFormat="1" applyFont="1" applyBorder="1" applyAlignment="1">
      <alignment horizontal="left" vertical="center"/>
    </xf>
    <xf numFmtId="4" fontId="5" fillId="0" borderId="11" xfId="0" applyNumberFormat="1" applyFont="1" applyBorder="1" applyAlignment="1">
      <alignment horizontal="right" vertical="center"/>
    </xf>
    <xf numFmtId="4" fontId="6" fillId="0" borderId="11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14" fontId="6" fillId="0" borderId="0" xfId="0" applyNumberFormat="1" applyFont="1" applyBorder="1" applyAlignment="1">
      <alignment horizontal="left" vertical="center"/>
    </xf>
    <xf numFmtId="14" fontId="6" fillId="0" borderId="11" xfId="0" applyNumberFormat="1" applyFont="1" applyBorder="1" applyAlignment="1">
      <alignment horizontal="left" vertical="center"/>
    </xf>
    <xf numFmtId="3" fontId="6" fillId="0" borderId="11" xfId="0" applyNumberFormat="1" applyFont="1" applyBorder="1" applyAlignment="1">
      <alignment vertical="center"/>
    </xf>
    <xf numFmtId="0" fontId="6" fillId="0" borderId="12" xfId="0" applyNumberFormat="1" applyFont="1" applyBorder="1" applyAlignment="1">
      <alignment vertical="center"/>
    </xf>
    <xf numFmtId="49" fontId="6" fillId="0" borderId="13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6" fillId="0" borderId="14" xfId="0" applyNumberFormat="1" applyFont="1" applyBorder="1" applyAlignment="1">
      <alignment horizontal="left" vertical="center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vertical="center"/>
      <protection locked="0"/>
    </xf>
    <xf numFmtId="0" fontId="9" fillId="0" borderId="14" xfId="49" applyFont="1" applyBorder="1" applyAlignment="1">
      <alignment horizontal="left" vertical="center" wrapText="1"/>
      <protection/>
    </xf>
    <xf numFmtId="0" fontId="9" fillId="0" borderId="0" xfId="49" applyFont="1" applyBorder="1" applyAlignment="1">
      <alignment vertical="center" wrapText="1"/>
      <protection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171" fontId="5" fillId="0" borderId="0" xfId="55" applyFont="1" applyFill="1" applyBorder="1" applyAlignment="1" applyProtection="1">
      <alignment vertical="center"/>
      <protection locked="0"/>
    </xf>
    <xf numFmtId="49" fontId="5" fillId="0" borderId="0" xfId="0" applyNumberFormat="1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0" fontId="6" fillId="0" borderId="15" xfId="0" applyNumberFormat="1" applyFont="1" applyBorder="1" applyAlignment="1">
      <alignment horizontal="center" vertical="center"/>
    </xf>
    <xf numFmtId="10" fontId="5" fillId="0" borderId="16" xfId="53" applyNumberFormat="1" applyFont="1" applyBorder="1" applyAlignment="1">
      <alignment horizontal="center"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0" fillId="0" borderId="10" xfId="0" applyFont="1" applyFill="1" applyBorder="1" applyAlignment="1" applyProtection="1">
      <alignment vertical="center"/>
      <protection locked="0"/>
    </xf>
    <xf numFmtId="0" fontId="6" fillId="0" borderId="10" xfId="0" applyNumberFormat="1" applyFont="1" applyBorder="1" applyAlignment="1">
      <alignment horizontal="left" vertical="center"/>
    </xf>
    <xf numFmtId="0" fontId="6" fillId="0" borderId="0" xfId="53" applyFont="1" applyFill="1" applyAlignment="1">
      <alignment horizontal="center" vertical="center"/>
      <protection locked="0"/>
    </xf>
    <xf numFmtId="4" fontId="6" fillId="0" borderId="0" xfId="53" applyNumberFormat="1" applyFont="1" applyFill="1" applyBorder="1" applyAlignment="1">
      <alignment horizontal="center" vertical="center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49" fontId="6" fillId="0" borderId="11" xfId="0" applyNumberFormat="1" applyFont="1" applyBorder="1" applyAlignment="1">
      <alignment horizontal="left" vertical="center"/>
    </xf>
    <xf numFmtId="0" fontId="9" fillId="0" borderId="0" xfId="49" applyFont="1" applyBorder="1" applyAlignment="1">
      <alignment horizontal="left" vertical="center" wrapText="1"/>
      <protection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2" fontId="11" fillId="0" borderId="18" xfId="0" applyNumberFormat="1" applyFont="1" applyFill="1" applyBorder="1" applyAlignment="1" applyProtection="1">
      <alignment horizontal="right" vertical="center"/>
      <protection locked="0"/>
    </xf>
    <xf numFmtId="2" fontId="6" fillId="0" borderId="18" xfId="0" applyNumberFormat="1" applyFont="1" applyFill="1" applyBorder="1" applyAlignment="1">
      <alignment horizontal="right" vertical="center"/>
    </xf>
    <xf numFmtId="4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8" xfId="0" applyFont="1" applyFill="1" applyBorder="1" applyAlignment="1">
      <alignment horizontal="right" vertical="center"/>
    </xf>
    <xf numFmtId="4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2" fontId="11" fillId="0" borderId="18" xfId="0" applyNumberFormat="1" applyFont="1" applyFill="1" applyBorder="1" applyAlignment="1" applyProtection="1">
      <alignment horizontal="center" vertical="center"/>
      <protection locked="0"/>
    </xf>
    <xf numFmtId="49" fontId="11" fillId="0" borderId="18" xfId="0" applyNumberFormat="1" applyFont="1" applyFill="1" applyBorder="1" applyAlignment="1" applyProtection="1">
      <alignment horizontal="right" vertical="center"/>
      <protection locked="0"/>
    </xf>
    <xf numFmtId="0" fontId="6" fillId="34" borderId="18" xfId="0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9" fontId="5" fillId="0" borderId="0" xfId="0" applyNumberFormat="1" applyFont="1" applyFill="1" applyBorder="1" applyAlignment="1">
      <alignment vertical="center"/>
    </xf>
    <xf numFmtId="2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12" fillId="35" borderId="11" xfId="0" applyFont="1" applyFill="1" applyBorder="1" applyAlignment="1" applyProtection="1">
      <alignment horizontal="left" vertical="center"/>
      <protection locked="0"/>
    </xf>
    <xf numFmtId="0" fontId="10" fillId="0" borderId="19" xfId="53" applyFont="1" applyBorder="1" applyAlignment="1">
      <alignment horizontal="center" vertical="center"/>
      <protection locked="0"/>
    </xf>
    <xf numFmtId="10" fontId="10" fillId="0" borderId="20" xfId="53" applyNumberFormat="1" applyFont="1" applyBorder="1" applyAlignment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14" xfId="0" applyNumberFormat="1" applyFont="1" applyFill="1" applyBorder="1" applyAlignment="1" applyProtection="1">
      <alignment vertical="center"/>
      <protection locked="0"/>
    </xf>
    <xf numFmtId="0" fontId="10" fillId="0" borderId="10" xfId="0" applyNumberFormat="1" applyFont="1" applyFill="1" applyBorder="1" applyAlignment="1" applyProtection="1">
      <alignment vertical="center"/>
      <protection locked="0"/>
    </xf>
    <xf numFmtId="2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2" fontId="6" fillId="0" borderId="23" xfId="0" applyNumberFormat="1" applyFont="1" applyFill="1" applyBorder="1" applyAlignment="1" applyProtection="1">
      <alignment horizontal="center" vertical="center"/>
      <protection locked="0"/>
    </xf>
    <xf numFmtId="2" fontId="6" fillId="0" borderId="24" xfId="0" applyNumberFormat="1" applyFont="1" applyFill="1" applyBorder="1" applyAlignment="1" applyProtection="1">
      <alignment horizontal="center" vertical="center"/>
      <protection locked="0"/>
    </xf>
    <xf numFmtId="2" fontId="6" fillId="7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7" borderId="17" xfId="0" applyNumberFormat="1" applyFont="1" applyFill="1" applyBorder="1" applyAlignment="1" applyProtection="1">
      <alignment horizontal="center" vertical="center"/>
      <protection locked="0"/>
    </xf>
    <xf numFmtId="2" fontId="6" fillId="33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17" xfId="0" applyNumberFormat="1" applyFont="1" applyFill="1" applyBorder="1" applyAlignment="1" applyProtection="1">
      <alignment horizontal="center" vertical="center" wrapText="1"/>
      <protection locked="0"/>
    </xf>
    <xf numFmtId="2" fontId="6" fillId="0" borderId="25" xfId="0" applyNumberFormat="1" applyFont="1" applyFill="1" applyBorder="1" applyAlignment="1" applyProtection="1">
      <alignment horizontal="center" vertical="center"/>
      <protection locked="0"/>
    </xf>
    <xf numFmtId="2" fontId="12" fillId="36" borderId="26" xfId="0" applyNumberFormat="1" applyFont="1" applyFill="1" applyBorder="1" applyAlignment="1" applyProtection="1">
      <alignment horizontal="left" vertical="center"/>
      <protection locked="0"/>
    </xf>
    <xf numFmtId="2" fontId="6" fillId="36" borderId="18" xfId="0" applyNumberFormat="1" applyFont="1" applyFill="1" applyBorder="1" applyAlignment="1">
      <alignment horizontal="right" vertical="center"/>
    </xf>
    <xf numFmtId="2" fontId="6" fillId="0" borderId="23" xfId="0" applyNumberFormat="1" applyFont="1" applyFill="1" applyBorder="1" applyAlignment="1" applyProtection="1">
      <alignment horizontal="left" vertical="center"/>
      <protection locked="0"/>
    </xf>
    <xf numFmtId="2" fontId="6" fillId="0" borderId="27" xfId="0" applyNumberFormat="1" applyFont="1" applyFill="1" applyBorder="1" applyAlignment="1" applyProtection="1">
      <alignment horizontal="left" vertical="center"/>
      <protection locked="0"/>
    </xf>
    <xf numFmtId="2" fontId="6" fillId="0" borderId="18" xfId="0" applyNumberFormat="1" applyFont="1" applyFill="1" applyBorder="1" applyAlignment="1" applyProtection="1">
      <alignment horizontal="left" vertical="center"/>
      <protection locked="0"/>
    </xf>
    <xf numFmtId="2" fontId="6" fillId="0" borderId="17" xfId="0" applyNumberFormat="1" applyFont="1" applyFill="1" applyBorder="1" applyAlignment="1" applyProtection="1">
      <alignment horizontal="right" vertical="center"/>
      <protection locked="0"/>
    </xf>
    <xf numFmtId="2" fontId="12" fillId="34" borderId="26" xfId="0" applyNumberFormat="1" applyFont="1" applyFill="1" applyBorder="1" applyAlignment="1" applyProtection="1">
      <alignment horizontal="left" vertical="center"/>
      <protection locked="0"/>
    </xf>
    <xf numFmtId="2" fontId="6" fillId="34" borderId="18" xfId="0" applyNumberFormat="1" applyFont="1" applyFill="1" applyBorder="1" applyAlignment="1">
      <alignment horizontal="right" vertical="center"/>
    </xf>
    <xf numFmtId="2" fontId="11" fillId="0" borderId="26" xfId="0" applyNumberFormat="1" applyFont="1" applyFill="1" applyBorder="1" applyAlignment="1" applyProtection="1">
      <alignment horizontal="left" vertical="center"/>
      <protection locked="0"/>
    </xf>
    <xf numFmtId="2" fontId="11" fillId="0" borderId="18" xfId="0" applyNumberFormat="1" applyFont="1" applyFill="1" applyBorder="1" applyAlignment="1" applyProtection="1">
      <alignment horizontal="left" vertical="center"/>
      <protection locked="0"/>
    </xf>
    <xf numFmtId="2" fontId="11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6" fillId="0" borderId="18" xfId="0" applyNumberFormat="1" applyFont="1" applyFill="1" applyBorder="1" applyAlignment="1">
      <alignment horizontal="center" vertical="center"/>
    </xf>
    <xf numFmtId="2" fontId="6" fillId="0" borderId="18" xfId="0" applyNumberFormat="1" applyFont="1" applyFill="1" applyBorder="1" applyAlignment="1" applyProtection="1">
      <alignment horizontal="right" vertical="center"/>
      <protection locked="0"/>
    </xf>
    <xf numFmtId="2" fontId="12" fillId="36" borderId="18" xfId="0" applyNumberFormat="1" applyFont="1" applyFill="1" applyBorder="1" applyAlignment="1" applyProtection="1">
      <alignment horizontal="right" vertical="center"/>
      <protection locked="0"/>
    </xf>
    <xf numFmtId="2" fontId="12" fillId="34" borderId="18" xfId="0" applyNumberFormat="1" applyFont="1" applyFill="1" applyBorder="1" applyAlignment="1" applyProtection="1">
      <alignment horizontal="right" vertical="center"/>
      <protection locked="0"/>
    </xf>
    <xf numFmtId="2" fontId="17" fillId="0" borderId="18" xfId="0" applyNumberFormat="1" applyFont="1" applyFill="1" applyBorder="1" applyAlignment="1" applyProtection="1">
      <alignment horizontal="left" vertical="center"/>
      <protection locked="0"/>
    </xf>
    <xf numFmtId="4" fontId="6" fillId="36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0" xfId="53" applyNumberFormat="1" applyFont="1" applyFill="1" applyBorder="1" applyAlignment="1">
      <alignment horizontal="center" vertical="center"/>
      <protection locked="0"/>
    </xf>
    <xf numFmtId="4" fontId="6" fillId="34" borderId="0" xfId="0" applyNumberFormat="1" applyFont="1" applyFill="1" applyBorder="1" applyAlignment="1" applyProtection="1">
      <alignment horizontal="right" vertical="center" wrapText="1"/>
      <protection locked="0"/>
    </xf>
    <xf numFmtId="2" fontId="11" fillId="34" borderId="26" xfId="0" applyNumberFormat="1" applyFont="1" applyFill="1" applyBorder="1" applyAlignment="1" applyProtection="1">
      <alignment horizontal="left" vertical="center"/>
      <protection locked="0"/>
    </xf>
    <xf numFmtId="2" fontId="11" fillId="34" borderId="18" xfId="0" applyNumberFormat="1" applyFont="1" applyFill="1" applyBorder="1" applyAlignment="1" applyProtection="1">
      <alignment horizontal="left" vertical="center"/>
      <protection locked="0"/>
    </xf>
    <xf numFmtId="2" fontId="6" fillId="34" borderId="18" xfId="0" applyNumberFormat="1" applyFont="1" applyFill="1" applyBorder="1" applyAlignment="1">
      <alignment horizontal="center" vertical="center"/>
    </xf>
    <xf numFmtId="2" fontId="11" fillId="34" borderId="18" xfId="0" applyNumberFormat="1" applyFont="1" applyFill="1" applyBorder="1" applyAlignment="1" applyProtection="1">
      <alignment horizontal="center" vertical="center"/>
      <protection locked="0"/>
    </xf>
    <xf numFmtId="2" fontId="11" fillId="34" borderId="18" xfId="0" applyNumberFormat="1" applyFont="1" applyFill="1" applyBorder="1" applyAlignment="1" applyProtection="1">
      <alignment horizontal="right" vertical="center"/>
      <protection locked="0"/>
    </xf>
    <xf numFmtId="185" fontId="11" fillId="0" borderId="26" xfId="0" applyNumberFormat="1" applyFont="1" applyFill="1" applyBorder="1" applyAlignment="1" applyProtection="1">
      <alignment horizontal="left" vertical="center"/>
      <protection locked="0"/>
    </xf>
    <xf numFmtId="1" fontId="12" fillId="36" borderId="26" xfId="0" applyNumberFormat="1" applyFont="1" applyFill="1" applyBorder="1" applyAlignment="1" applyProtection="1">
      <alignment horizontal="left" vertical="center"/>
      <protection locked="0"/>
    </xf>
    <xf numFmtId="2" fontId="6" fillId="0" borderId="0" xfId="0" applyNumberFormat="1" applyFont="1" applyFill="1" applyBorder="1" applyAlignment="1" applyProtection="1">
      <alignment horizontal="right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30" xfId="0" applyNumberFormat="1" applyFont="1" applyFill="1" applyBorder="1" applyAlignment="1" applyProtection="1">
      <alignment horizontal="center" vertical="center"/>
      <protection locked="0"/>
    </xf>
    <xf numFmtId="171" fontId="5" fillId="0" borderId="11" xfId="55" applyFont="1" applyFill="1" applyBorder="1" applyAlignment="1" applyProtection="1">
      <alignment vertical="center"/>
      <protection locked="0"/>
    </xf>
    <xf numFmtId="2" fontId="5" fillId="36" borderId="18" xfId="0" applyNumberFormat="1" applyFont="1" applyFill="1" applyBorder="1" applyAlignment="1">
      <alignment horizontal="right" vertical="center"/>
    </xf>
    <xf numFmtId="49" fontId="10" fillId="0" borderId="14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25" xfId="0" applyFont="1" applyFill="1" applyBorder="1" applyAlignment="1" applyProtection="1">
      <alignment horizontal="center" vertical="center"/>
      <protection locked="0"/>
    </xf>
    <xf numFmtId="2" fontId="12" fillId="36" borderId="18" xfId="0" applyNumberFormat="1" applyFont="1" applyFill="1" applyBorder="1" applyAlignment="1" applyProtection="1">
      <alignment horizontal="left" vertical="center"/>
      <protection locked="0"/>
    </xf>
    <xf numFmtId="2" fontId="0" fillId="0" borderId="0" xfId="0" applyNumberFormat="1" applyFont="1" applyAlignment="1">
      <alignment/>
    </xf>
    <xf numFmtId="2" fontId="8" fillId="2" borderId="18" xfId="0" applyNumberFormat="1" applyFont="1" applyFill="1" applyBorder="1" applyAlignment="1" applyProtection="1">
      <alignment horizontal="left" vertical="center"/>
      <protection locked="0"/>
    </xf>
    <xf numFmtId="2" fontId="8" fillId="2" borderId="18" xfId="0" applyNumberFormat="1" applyFont="1" applyFill="1" applyBorder="1" applyAlignment="1" applyProtection="1">
      <alignment horizontal="center" vertical="center"/>
      <protection locked="0"/>
    </xf>
    <xf numFmtId="0" fontId="20" fillId="2" borderId="0" xfId="0" applyFont="1" applyFill="1" applyAlignment="1">
      <alignment/>
    </xf>
    <xf numFmtId="2" fontId="17" fillId="2" borderId="18" xfId="0" applyNumberFormat="1" applyFont="1" applyFill="1" applyBorder="1" applyAlignment="1" applyProtection="1">
      <alignment horizontal="left" vertical="center"/>
      <protection locked="0"/>
    </xf>
    <xf numFmtId="2" fontId="8" fillId="2" borderId="18" xfId="0" applyNumberFormat="1" applyFont="1" applyFill="1" applyBorder="1" applyAlignment="1">
      <alignment horizontal="center" vertical="center"/>
    </xf>
    <xf numFmtId="2" fontId="17" fillId="2" borderId="18" xfId="0" applyNumberFormat="1" applyFont="1" applyFill="1" applyBorder="1" applyAlignment="1" applyProtection="1">
      <alignment horizontal="center" vertical="center"/>
      <protection locked="0"/>
    </xf>
    <xf numFmtId="2" fontId="17" fillId="2" borderId="26" xfId="0" applyNumberFormat="1" applyFont="1" applyFill="1" applyBorder="1" applyAlignment="1" applyProtection="1">
      <alignment horizontal="left" vertical="center"/>
      <protection locked="0"/>
    </xf>
    <xf numFmtId="2" fontId="8" fillId="2" borderId="17" xfId="0" applyNumberFormat="1" applyFont="1" applyFill="1" applyBorder="1" applyAlignment="1" applyProtection="1">
      <alignment horizontal="center" vertical="center"/>
      <protection locked="0"/>
    </xf>
    <xf numFmtId="2" fontId="11" fillId="2" borderId="26" xfId="0" applyNumberFormat="1" applyFont="1" applyFill="1" applyBorder="1" applyAlignment="1" applyProtection="1">
      <alignment horizontal="left" vertical="center"/>
      <protection locked="0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2" fontId="6" fillId="2" borderId="17" xfId="0" applyNumberFormat="1" applyFont="1" applyFill="1" applyBorder="1" applyAlignment="1" applyProtection="1">
      <alignment horizontal="center" vertical="center"/>
      <protection locked="0"/>
    </xf>
    <xf numFmtId="2" fontId="6" fillId="2" borderId="18" xfId="0" applyNumberFormat="1" applyFont="1" applyFill="1" applyBorder="1" applyAlignment="1">
      <alignment horizontal="center" vertical="center"/>
    </xf>
    <xf numFmtId="0" fontId="0" fillId="2" borderId="0" xfId="0" applyFill="1" applyAlignment="1">
      <alignment/>
    </xf>
    <xf numFmtId="2" fontId="6" fillId="2" borderId="18" xfId="0" applyNumberFormat="1" applyFont="1" applyFill="1" applyBorder="1" applyAlignment="1" applyProtection="1">
      <alignment horizontal="left" vertical="center"/>
      <protection locked="0"/>
    </xf>
    <xf numFmtId="2" fontId="6" fillId="2" borderId="18" xfId="0" applyNumberFormat="1" applyFont="1" applyFill="1" applyBorder="1" applyAlignment="1" applyProtection="1">
      <alignment horizontal="left" vertical="center"/>
      <protection locked="0"/>
    </xf>
    <xf numFmtId="2" fontId="6" fillId="2" borderId="18" xfId="0" applyNumberFormat="1" applyFont="1" applyFill="1" applyBorder="1" applyAlignment="1" applyProtection="1">
      <alignment horizontal="center" vertical="center"/>
      <protection locked="0"/>
    </xf>
    <xf numFmtId="2" fontId="11" fillId="2" borderId="18" xfId="0" applyNumberFormat="1" applyFont="1" applyFill="1" applyBorder="1" applyAlignment="1" applyProtection="1">
      <alignment horizontal="center" vertical="center"/>
      <protection locked="0"/>
    </xf>
    <xf numFmtId="2" fontId="11" fillId="2" borderId="18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31" xfId="0" applyNumberFormat="1" applyFont="1" applyFill="1" applyBorder="1" applyAlignment="1" applyProtection="1">
      <alignment vertical="center"/>
      <protection locked="0"/>
    </xf>
    <xf numFmtId="0" fontId="10" fillId="0" borderId="32" xfId="0" applyNumberFormat="1" applyFont="1" applyFill="1" applyBorder="1" applyAlignment="1" applyProtection="1">
      <alignment vertical="center"/>
      <protection locked="0"/>
    </xf>
    <xf numFmtId="0" fontId="10" fillId="0" borderId="13" xfId="0" applyNumberFormat="1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vertical="center"/>
      <protection locked="0"/>
    </xf>
    <xf numFmtId="0" fontId="10" fillId="0" borderId="18" xfId="0" applyNumberFormat="1" applyFont="1" applyFill="1" applyBorder="1" applyAlignment="1" applyProtection="1">
      <alignment vertical="center"/>
      <protection locked="0"/>
    </xf>
    <xf numFmtId="0" fontId="10" fillId="0" borderId="33" xfId="0" applyNumberFormat="1" applyFont="1" applyFill="1" applyBorder="1" applyAlignment="1" applyProtection="1">
      <alignment horizontal="center" vertical="center"/>
      <protection locked="0"/>
    </xf>
    <xf numFmtId="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10" fillId="0" borderId="35" xfId="0" applyNumberFormat="1" applyFont="1" applyFill="1" applyBorder="1" applyAlignment="1" applyProtection="1">
      <alignment vertical="center"/>
      <protection locked="0"/>
    </xf>
    <xf numFmtId="0" fontId="10" fillId="0" borderId="28" xfId="0" applyNumberFormat="1" applyFont="1" applyFill="1" applyBorder="1" applyAlignment="1" applyProtection="1">
      <alignment vertical="center"/>
      <protection locked="0"/>
    </xf>
    <xf numFmtId="0" fontId="10" fillId="0" borderId="29" xfId="0" applyNumberFormat="1" applyFont="1" applyFill="1" applyBorder="1" applyAlignment="1" applyProtection="1">
      <alignment vertical="center"/>
      <protection locked="0"/>
    </xf>
    <xf numFmtId="0" fontId="10" fillId="0" borderId="30" xfId="0" applyNumberFormat="1" applyFont="1" applyFill="1" applyBorder="1" applyAlignment="1" applyProtection="1">
      <alignment vertical="center"/>
      <protection locked="0"/>
    </xf>
    <xf numFmtId="0" fontId="10" fillId="0" borderId="24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/>
      <protection locked="0"/>
    </xf>
    <xf numFmtId="0" fontId="10" fillId="0" borderId="17" xfId="0" applyNumberFormat="1" applyFont="1" applyFill="1" applyBorder="1" applyAlignment="1" applyProtection="1">
      <alignment vertical="center"/>
      <protection locked="0"/>
    </xf>
    <xf numFmtId="0" fontId="10" fillId="0" borderId="33" xfId="0" applyNumberFormat="1" applyFont="1" applyFill="1" applyBorder="1" applyAlignment="1" applyProtection="1">
      <alignment vertical="center"/>
      <protection locked="0"/>
    </xf>
    <xf numFmtId="0" fontId="10" fillId="0" borderId="22" xfId="0" applyNumberFormat="1" applyFont="1" applyFill="1" applyBorder="1" applyAlignment="1" applyProtection="1">
      <alignment vertical="center"/>
      <protection locked="0"/>
    </xf>
    <xf numFmtId="0" fontId="10" fillId="0" borderId="25" xfId="0" applyNumberFormat="1" applyFont="1" applyFill="1" applyBorder="1" applyAlignment="1" applyProtection="1">
      <alignment horizontal="center" vertical="center"/>
      <protection locked="0"/>
    </xf>
    <xf numFmtId="44" fontId="10" fillId="0" borderId="36" xfId="0" applyNumberFormat="1" applyFont="1" applyFill="1" applyBorder="1" applyAlignment="1" applyProtection="1">
      <alignment vertical="center"/>
      <protection locked="0"/>
    </xf>
    <xf numFmtId="44" fontId="10" fillId="0" borderId="26" xfId="0" applyNumberFormat="1" applyFont="1" applyFill="1" applyBorder="1" applyAlignment="1" applyProtection="1">
      <alignment vertical="center"/>
      <protection locked="0"/>
    </xf>
    <xf numFmtId="44" fontId="10" fillId="0" borderId="21" xfId="0" applyNumberFormat="1" applyFont="1" applyFill="1" applyBorder="1" applyAlignment="1" applyProtection="1">
      <alignment vertical="center"/>
      <protection locked="0"/>
    </xf>
    <xf numFmtId="190" fontId="10" fillId="0" borderId="37" xfId="0" applyNumberFormat="1" applyFont="1" applyFill="1" applyBorder="1" applyAlignment="1" applyProtection="1">
      <alignment vertical="center"/>
      <protection locked="0"/>
    </xf>
    <xf numFmtId="190" fontId="10" fillId="0" borderId="38" xfId="0" applyNumberFormat="1" applyFont="1" applyFill="1" applyBorder="1" applyAlignment="1" applyProtection="1">
      <alignment vertical="center"/>
      <protection locked="0"/>
    </xf>
    <xf numFmtId="190" fontId="10" fillId="0" borderId="39" xfId="0" applyNumberFormat="1" applyFont="1" applyFill="1" applyBorder="1" applyAlignment="1" applyProtection="1">
      <alignment vertical="center"/>
      <protection locked="0"/>
    </xf>
    <xf numFmtId="44" fontId="10" fillId="0" borderId="40" xfId="0" applyNumberFormat="1" applyFont="1" applyFill="1" applyBorder="1" applyAlignment="1" applyProtection="1">
      <alignment vertical="center"/>
      <protection locked="0"/>
    </xf>
    <xf numFmtId="44" fontId="10" fillId="0" borderId="41" xfId="0" applyNumberFormat="1" applyFont="1" applyFill="1" applyBorder="1" applyAlignment="1" applyProtection="1">
      <alignment vertical="center"/>
      <protection locked="0"/>
    </xf>
    <xf numFmtId="44" fontId="10" fillId="0" borderId="42" xfId="0" applyNumberFormat="1" applyFont="1" applyFill="1" applyBorder="1" applyAlignment="1" applyProtection="1">
      <alignment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44" xfId="0" applyNumberFormat="1" applyFont="1" applyFill="1" applyBorder="1" applyAlignment="1" applyProtection="1">
      <alignment horizontal="center" vertical="center"/>
      <protection locked="0"/>
    </xf>
    <xf numFmtId="0" fontId="10" fillId="0" borderId="45" xfId="0" applyNumberFormat="1" applyFont="1" applyFill="1" applyBorder="1" applyAlignment="1" applyProtection="1">
      <alignment horizontal="center" vertical="center"/>
      <protection locked="0"/>
    </xf>
    <xf numFmtId="0" fontId="10" fillId="0" borderId="40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42" xfId="0" applyNumberFormat="1" applyFont="1" applyFill="1" applyBorder="1" applyAlignment="1" applyProtection="1">
      <alignment horizontal="center" vertical="center"/>
      <protection locked="0"/>
    </xf>
    <xf numFmtId="0" fontId="10" fillId="0" borderId="28" xfId="0" applyNumberFormat="1" applyFont="1" applyFill="1" applyBorder="1" applyAlignment="1" applyProtection="1">
      <alignment horizontal="right" vertical="center"/>
      <protection locked="0"/>
    </xf>
    <xf numFmtId="0" fontId="10" fillId="0" borderId="30" xfId="0" applyNumberFormat="1" applyFont="1" applyFill="1" applyBorder="1" applyAlignment="1" applyProtection="1">
      <alignment horizontal="right" vertical="center"/>
      <protection locked="0"/>
    </xf>
    <xf numFmtId="0" fontId="10" fillId="0" borderId="46" xfId="0" applyNumberFormat="1" applyFont="1" applyFill="1" applyBorder="1" applyAlignment="1" applyProtection="1">
      <alignment vertical="center"/>
      <protection locked="0"/>
    </xf>
    <xf numFmtId="0" fontId="10" fillId="0" borderId="20" xfId="0" applyNumberFormat="1" applyFont="1" applyFill="1" applyBorder="1" applyAlignment="1" applyProtection="1">
      <alignment vertical="center"/>
      <protection locked="0"/>
    </xf>
    <xf numFmtId="0" fontId="10" fillId="0" borderId="47" xfId="0" applyNumberFormat="1" applyFont="1" applyFill="1" applyBorder="1" applyAlignment="1" applyProtection="1">
      <alignment vertical="center"/>
      <protection locked="0"/>
    </xf>
    <xf numFmtId="10" fontId="10" fillId="0" borderId="46" xfId="0" applyNumberFormat="1" applyFont="1" applyFill="1" applyBorder="1" applyAlignment="1" applyProtection="1">
      <alignment vertical="center"/>
      <protection locked="0"/>
    </xf>
    <xf numFmtId="44" fontId="10" fillId="0" borderId="15" xfId="0" applyNumberFormat="1" applyFont="1" applyFill="1" applyBorder="1" applyAlignment="1" applyProtection="1">
      <alignment vertical="center"/>
      <protection locked="0"/>
    </xf>
    <xf numFmtId="190" fontId="10" fillId="0" borderId="35" xfId="0" applyNumberFormat="1" applyFont="1" applyFill="1" applyBorder="1" applyAlignment="1" applyProtection="1">
      <alignment vertical="center"/>
      <protection locked="0"/>
    </xf>
    <xf numFmtId="44" fontId="10" fillId="0" borderId="35" xfId="0" applyNumberFormat="1" applyFont="1" applyFill="1" applyBorder="1" applyAlignment="1" applyProtection="1">
      <alignment vertical="center"/>
      <protection locked="0"/>
    </xf>
    <xf numFmtId="185" fontId="11" fillId="2" borderId="26" xfId="0" applyNumberFormat="1" applyFont="1" applyFill="1" applyBorder="1" applyAlignment="1" applyProtection="1">
      <alignment horizontal="left" vertical="center"/>
      <protection locked="0"/>
    </xf>
    <xf numFmtId="2" fontId="20" fillId="2" borderId="0" xfId="0" applyNumberFormat="1" applyFont="1" applyFill="1" applyAlignment="1">
      <alignment/>
    </xf>
    <xf numFmtId="2" fontId="11" fillId="2" borderId="18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2" fontId="6" fillId="0" borderId="17" xfId="0" applyNumberFormat="1" applyFont="1" applyFill="1" applyBorder="1" applyAlignment="1">
      <alignment horizontal="center" vertical="center"/>
    </xf>
    <xf numFmtId="0" fontId="10" fillId="0" borderId="48" xfId="0" applyNumberFormat="1" applyFont="1" applyFill="1" applyBorder="1" applyAlignment="1" applyProtection="1">
      <alignment vertical="center"/>
      <protection locked="0"/>
    </xf>
    <xf numFmtId="2" fontId="6" fillId="2" borderId="17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4" fontId="6" fillId="36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6" fillId="36" borderId="18" xfId="53" applyNumberFormat="1" applyFont="1" applyFill="1" applyBorder="1" applyAlignment="1">
      <alignment horizontal="center" vertical="center"/>
      <protection locked="0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0" fontId="6" fillId="36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189" fontId="6" fillId="34" borderId="18" xfId="0" applyNumberFormat="1" applyFont="1" applyFill="1" applyBorder="1" applyAlignment="1">
      <alignment horizontal="center" vertical="center"/>
    </xf>
    <xf numFmtId="189" fontId="6" fillId="0" borderId="18" xfId="0" applyNumberFormat="1" applyFont="1" applyFill="1" applyBorder="1" applyAlignment="1">
      <alignment horizontal="center" vertical="center"/>
    </xf>
    <xf numFmtId="0" fontId="6" fillId="34" borderId="18" xfId="0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2" fontId="17" fillId="0" borderId="26" xfId="0" applyNumberFormat="1" applyFont="1" applyFill="1" applyBorder="1" applyAlignment="1" applyProtection="1">
      <alignment horizontal="left" vertical="center"/>
      <protection locked="0"/>
    </xf>
    <xf numFmtId="2" fontId="8" fillId="0" borderId="18" xfId="0" applyNumberFormat="1" applyFont="1" applyFill="1" applyBorder="1" applyAlignment="1">
      <alignment horizontal="center" vertical="center"/>
    </xf>
    <xf numFmtId="2" fontId="17" fillId="0" borderId="18" xfId="0" applyNumberFormat="1" applyFont="1" applyFill="1" applyBorder="1" applyAlignment="1" applyProtection="1">
      <alignment horizontal="center" vertical="center"/>
      <protection locked="0"/>
    </xf>
    <xf numFmtId="2" fontId="17" fillId="0" borderId="18" xfId="0" applyNumberFormat="1" applyFont="1" applyFill="1" applyBorder="1" applyAlignment="1" applyProtection="1">
      <alignment horizontal="right" vertical="center"/>
      <protection locked="0"/>
    </xf>
    <xf numFmtId="4" fontId="8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8" xfId="0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2" fontId="8" fillId="0" borderId="18" xfId="0" applyNumberFormat="1" applyFont="1" applyFill="1" applyBorder="1" applyAlignment="1" applyProtection="1">
      <alignment horizontal="right" vertical="center"/>
      <protection locked="0"/>
    </xf>
    <xf numFmtId="2" fontId="8" fillId="0" borderId="0" xfId="0" applyNumberFormat="1" applyFont="1" applyFill="1" applyBorder="1" applyAlignment="1" applyProtection="1">
      <alignment horizontal="right" vertical="center"/>
      <protection locked="0"/>
    </xf>
    <xf numFmtId="49" fontId="8" fillId="2" borderId="26" xfId="0" applyNumberFormat="1" applyFont="1" applyFill="1" applyBorder="1" applyAlignment="1">
      <alignment horizontal="left" vertical="top"/>
    </xf>
    <xf numFmtId="49" fontId="8" fillId="2" borderId="18" xfId="0" applyNumberFormat="1" applyFont="1" applyFill="1" applyBorder="1" applyAlignment="1">
      <alignment horizontal="left" vertical="center"/>
    </xf>
    <xf numFmtId="2" fontId="8" fillId="0" borderId="18" xfId="0" applyNumberFormat="1" applyFont="1" applyFill="1" applyBorder="1" applyAlignment="1">
      <alignment horizontal="right" vertical="center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2" fontId="17" fillId="2" borderId="18" xfId="0" applyNumberFormat="1" applyFont="1" applyFill="1" applyBorder="1" applyAlignment="1" applyProtection="1">
      <alignment horizontal="left" vertical="center"/>
      <protection locked="0"/>
    </xf>
    <xf numFmtId="4" fontId="17" fillId="0" borderId="18" xfId="0" applyNumberFormat="1" applyFont="1" applyFill="1" applyBorder="1" applyAlignment="1" applyProtection="1">
      <alignment horizontal="right" vertical="center"/>
      <protection locked="0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49" fontId="8" fillId="0" borderId="35" xfId="0" applyNumberFormat="1" applyFont="1" applyFill="1" applyBorder="1" applyAlignment="1">
      <alignment horizontal="left" vertical="center"/>
    </xf>
    <xf numFmtId="2" fontId="8" fillId="0" borderId="35" xfId="0" applyNumberFormat="1" applyFont="1" applyFill="1" applyBorder="1" applyAlignment="1" applyProtection="1">
      <alignment horizontal="center" vertical="center"/>
      <protection locked="0"/>
    </xf>
    <xf numFmtId="2" fontId="22" fillId="34" borderId="26" xfId="0" applyNumberFormat="1" applyFont="1" applyFill="1" applyBorder="1" applyAlignment="1" applyProtection="1">
      <alignment horizontal="left" vertical="center"/>
      <protection locked="0"/>
    </xf>
    <xf numFmtId="2" fontId="22" fillId="34" borderId="18" xfId="0" applyNumberFormat="1" applyFont="1" applyFill="1" applyBorder="1" applyAlignment="1" applyProtection="1">
      <alignment horizontal="left" vertical="center"/>
      <protection locked="0"/>
    </xf>
    <xf numFmtId="2" fontId="22" fillId="34" borderId="27" xfId="0" applyNumberFormat="1" applyFont="1" applyFill="1" applyBorder="1" applyAlignment="1" applyProtection="1">
      <alignment horizontal="left" vertical="center"/>
      <protection locked="0"/>
    </xf>
    <xf numFmtId="2" fontId="22" fillId="34" borderId="49" xfId="0" applyNumberFormat="1" applyFont="1" applyFill="1" applyBorder="1" applyAlignment="1" applyProtection="1">
      <alignment horizontal="left" vertical="center"/>
      <protection locked="0"/>
    </xf>
    <xf numFmtId="2" fontId="22" fillId="34" borderId="16" xfId="0" applyNumberFormat="1" applyFont="1" applyFill="1" applyBorder="1" applyAlignment="1" applyProtection="1">
      <alignment horizontal="left" vertical="center"/>
      <protection locked="0"/>
    </xf>
    <xf numFmtId="2" fontId="23" fillId="34" borderId="17" xfId="0" applyNumberFormat="1" applyFont="1" applyFill="1" applyBorder="1" applyAlignment="1" applyProtection="1">
      <alignment horizontal="center" vertical="center"/>
      <protection locked="0"/>
    </xf>
    <xf numFmtId="2" fontId="23" fillId="34" borderId="18" xfId="0" applyNumberFormat="1" applyFont="1" applyFill="1" applyBorder="1" applyAlignment="1">
      <alignment horizontal="center" vertical="center"/>
    </xf>
    <xf numFmtId="2" fontId="22" fillId="34" borderId="18" xfId="0" applyNumberFormat="1" applyFont="1" applyFill="1" applyBorder="1" applyAlignment="1" applyProtection="1">
      <alignment horizontal="right" vertical="center"/>
      <protection locked="0"/>
    </xf>
    <xf numFmtId="4" fontId="23" fillId="34" borderId="0" xfId="0" applyNumberFormat="1" applyFont="1" applyFill="1" applyBorder="1" applyAlignment="1" applyProtection="1">
      <alignment horizontal="right" vertical="center" wrapText="1"/>
      <protection locked="0"/>
    </xf>
    <xf numFmtId="4" fontId="23" fillId="34" borderId="18" xfId="0" applyNumberFormat="1" applyFont="1" applyFill="1" applyBorder="1" applyAlignment="1" applyProtection="1">
      <alignment horizontal="center" vertical="center" wrapText="1"/>
      <protection locked="0"/>
    </xf>
    <xf numFmtId="0" fontId="23" fillId="34" borderId="18" xfId="0" applyFont="1" applyFill="1" applyBorder="1" applyAlignment="1">
      <alignment horizontal="center" vertical="center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0" fontId="6" fillId="2" borderId="16" xfId="0" applyFont="1" applyFill="1" applyBorder="1" applyAlignment="1">
      <alignment horizontal="left" vertical="center"/>
    </xf>
    <xf numFmtId="0" fontId="6" fillId="2" borderId="18" xfId="0" applyFont="1" applyFill="1" applyBorder="1" applyAlignment="1">
      <alignment horizontal="center" vertical="center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0" fontId="71" fillId="0" borderId="14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4" fontId="5" fillId="7" borderId="0" xfId="0" applyNumberFormat="1" applyFont="1" applyFill="1" applyBorder="1" applyAlignment="1" applyProtection="1">
      <alignment horizontal="left" vertical="center"/>
      <protection locked="0"/>
    </xf>
    <xf numFmtId="10" fontId="6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49" fontId="8" fillId="0" borderId="21" xfId="0" applyNumberFormat="1" applyFont="1" applyFill="1" applyBorder="1" applyAlignment="1">
      <alignment horizontal="left" vertical="center"/>
    </xf>
    <xf numFmtId="49" fontId="12" fillId="35" borderId="13" xfId="0" applyNumberFormat="1" applyFont="1" applyFill="1" applyBorder="1" applyAlignment="1" applyProtection="1">
      <alignment horizontal="left" vertical="center"/>
      <protection locked="0"/>
    </xf>
    <xf numFmtId="49" fontId="12" fillId="35" borderId="11" xfId="0" applyNumberFormat="1" applyFont="1" applyFill="1" applyBorder="1" applyAlignment="1" applyProtection="1">
      <alignment horizontal="left" vertical="center"/>
      <protection locked="0"/>
    </xf>
    <xf numFmtId="0" fontId="11" fillId="35" borderId="11" xfId="0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vertical="center"/>
    </xf>
    <xf numFmtId="4" fontId="6" fillId="35" borderId="11" xfId="0" applyNumberFormat="1" applyFont="1" applyFill="1" applyBorder="1" applyAlignment="1">
      <alignment horizontal="center" vertical="center"/>
    </xf>
    <xf numFmtId="0" fontId="6" fillId="35" borderId="11" xfId="0" applyFont="1" applyFill="1" applyBorder="1" applyAlignment="1">
      <alignment vertical="center"/>
    </xf>
    <xf numFmtId="49" fontId="6" fillId="0" borderId="31" xfId="0" applyNumberFormat="1" applyFont="1" applyBorder="1" applyAlignment="1">
      <alignment horizontal="left" vertical="center"/>
    </xf>
    <xf numFmtId="49" fontId="6" fillId="0" borderId="32" xfId="0" applyNumberFormat="1" applyFont="1" applyBorder="1" applyAlignment="1">
      <alignment horizontal="left" vertical="center"/>
    </xf>
    <xf numFmtId="0" fontId="0" fillId="0" borderId="32" xfId="0" applyBorder="1" applyAlignment="1">
      <alignment vertical="center"/>
    </xf>
    <xf numFmtId="4" fontId="0" fillId="0" borderId="32" xfId="0" applyNumberFormat="1" applyBorder="1" applyAlignment="1">
      <alignment vertical="center"/>
    </xf>
    <xf numFmtId="4" fontId="0" fillId="0" borderId="32" xfId="0" applyNumberFormat="1" applyBorder="1" applyAlignment="1">
      <alignment horizontal="center" vertical="center"/>
    </xf>
    <xf numFmtId="4" fontId="0" fillId="7" borderId="32" xfId="0" applyNumberFormat="1" applyFill="1" applyBorder="1" applyAlignment="1">
      <alignment vertical="center"/>
    </xf>
    <xf numFmtId="0" fontId="0" fillId="7" borderId="32" xfId="0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0" borderId="48" xfId="0" applyBorder="1" applyAlignment="1">
      <alignment vertical="center"/>
    </xf>
    <xf numFmtId="171" fontId="5" fillId="0" borderId="0" xfId="55" applyFont="1" applyBorder="1" applyAlignment="1">
      <alignment vertical="center"/>
    </xf>
    <xf numFmtId="4" fontId="5" fillId="0" borderId="0" xfId="0" applyNumberFormat="1" applyFont="1" applyBorder="1" applyAlignment="1">
      <alignment vertical="center"/>
    </xf>
    <xf numFmtId="4" fontId="5" fillId="0" borderId="0" xfId="0" applyNumberFormat="1" applyFont="1" applyBorder="1" applyAlignment="1">
      <alignment horizontal="center" vertical="center"/>
    </xf>
    <xf numFmtId="4" fontId="5" fillId="7" borderId="0" xfId="0" applyNumberFormat="1" applyFont="1" applyFill="1" applyBorder="1" applyAlignment="1">
      <alignment vertical="center"/>
    </xf>
    <xf numFmtId="0" fontId="5" fillId="7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4" fontId="5" fillId="0" borderId="11" xfId="0" applyNumberFormat="1" applyFont="1" applyBorder="1" applyAlignment="1">
      <alignment vertical="center"/>
    </xf>
    <xf numFmtId="4" fontId="5" fillId="0" borderId="11" xfId="0" applyNumberFormat="1" applyFont="1" applyBorder="1" applyAlignment="1">
      <alignment horizontal="center" vertical="center"/>
    </xf>
    <xf numFmtId="4" fontId="5" fillId="7" borderId="11" xfId="0" applyNumberFormat="1" applyFont="1" applyFill="1" applyBorder="1" applyAlignment="1">
      <alignment vertical="center"/>
    </xf>
    <xf numFmtId="0" fontId="5" fillId="7" borderId="11" xfId="0" applyFont="1" applyFill="1" applyBorder="1" applyAlignment="1">
      <alignment vertical="center"/>
    </xf>
    <xf numFmtId="0" fontId="5" fillId="33" borderId="11" xfId="0" applyFont="1" applyFill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4" fontId="6" fillId="0" borderId="32" xfId="0" applyNumberFormat="1" applyFont="1" applyBorder="1" applyAlignment="1">
      <alignment vertical="center"/>
    </xf>
    <xf numFmtId="4" fontId="6" fillId="0" borderId="48" xfId="0" applyNumberFormat="1" applyFont="1" applyBorder="1" applyAlignment="1">
      <alignment vertical="center"/>
    </xf>
    <xf numFmtId="49" fontId="0" fillId="0" borderId="14" xfId="0" applyNumberFormat="1" applyFont="1" applyBorder="1" applyAlignment="1">
      <alignment horizontal="left" vertical="center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0" xfId="0" applyNumberFormat="1" applyFont="1" applyBorder="1" applyAlignment="1">
      <alignment horizontal="center" vertical="center"/>
    </xf>
    <xf numFmtId="4" fontId="0" fillId="7" borderId="0" xfId="0" applyNumberFormat="1" applyFont="1" applyFill="1" applyBorder="1" applyAlignment="1">
      <alignment vertical="center"/>
    </xf>
    <xf numFmtId="0" fontId="0" fillId="7" borderId="0" xfId="0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4" fontId="6" fillId="0" borderId="10" xfId="0" applyNumberFormat="1" applyFont="1" applyBorder="1" applyAlignment="1">
      <alignment vertical="center"/>
    </xf>
    <xf numFmtId="4" fontId="6" fillId="0" borderId="12" xfId="0" applyNumberFormat="1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6" fillId="0" borderId="33" xfId="0" applyFont="1" applyBorder="1" applyAlignment="1">
      <alignment horizontal="center" vertical="center"/>
    </xf>
    <xf numFmtId="4" fontId="6" fillId="0" borderId="50" xfId="0" applyNumberFormat="1" applyFont="1" applyBorder="1" applyAlignment="1">
      <alignment horizontal="center" vertical="center"/>
    </xf>
    <xf numFmtId="4" fontId="0" fillId="0" borderId="32" xfId="0" applyNumberFormat="1" applyFont="1" applyBorder="1" applyAlignment="1">
      <alignment horizontal="center" vertical="center"/>
    </xf>
    <xf numFmtId="4" fontId="0" fillId="7" borderId="32" xfId="0" applyNumberFormat="1" applyFont="1" applyFill="1" applyBorder="1" applyAlignment="1">
      <alignment vertical="center"/>
    </xf>
    <xf numFmtId="0" fontId="0" fillId="7" borderId="32" xfId="0" applyFont="1" applyFill="1" applyBorder="1" applyAlignment="1">
      <alignment vertical="center"/>
    </xf>
    <xf numFmtId="0" fontId="0" fillId="33" borderId="32" xfId="0" applyFont="1" applyFill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6" fillId="0" borderId="51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7" xfId="0" applyFont="1" applyBorder="1" applyAlignment="1">
      <alignment horizontal="center" vertical="center"/>
    </xf>
    <xf numFmtId="10" fontId="6" fillId="0" borderId="24" xfId="51" applyNumberFormat="1" applyFont="1" applyBorder="1" applyAlignment="1">
      <alignment horizontal="center" vertical="center"/>
      <protection/>
    </xf>
    <xf numFmtId="0" fontId="6" fillId="0" borderId="52" xfId="0" applyFont="1" applyBorder="1" applyAlignment="1">
      <alignment vertical="center"/>
    </xf>
    <xf numFmtId="0" fontId="6" fillId="0" borderId="53" xfId="0" applyFont="1" applyBorder="1" applyAlignment="1">
      <alignment vertical="center"/>
    </xf>
    <xf numFmtId="0" fontId="6" fillId="0" borderId="54" xfId="0" applyFont="1" applyBorder="1" applyAlignment="1">
      <alignment horizontal="center" vertical="center"/>
    </xf>
    <xf numFmtId="10" fontId="6" fillId="0" borderId="53" xfId="51" applyNumberFormat="1" applyFont="1" applyBorder="1" applyAlignment="1">
      <alignment horizontal="center" vertical="center"/>
      <protection/>
    </xf>
    <xf numFmtId="10" fontId="0" fillId="0" borderId="0" xfId="51" applyNumberFormat="1" applyFont="1" applyBorder="1" applyAlignment="1">
      <alignment vertical="center" wrapText="1"/>
      <protection/>
    </xf>
    <xf numFmtId="0" fontId="72" fillId="0" borderId="14" xfId="49" applyFont="1" applyBorder="1" applyAlignment="1">
      <alignment horizontal="left" vertical="center"/>
      <protection/>
    </xf>
    <xf numFmtId="0" fontId="72" fillId="0" borderId="0" xfId="49" applyFont="1" applyBorder="1" applyAlignment="1">
      <alignment horizontal="left" vertical="center"/>
      <protection/>
    </xf>
    <xf numFmtId="0" fontId="72" fillId="0" borderId="0" xfId="49" applyFont="1" applyBorder="1" applyAlignment="1">
      <alignment vertical="center"/>
      <protection/>
    </xf>
    <xf numFmtId="0" fontId="0" fillId="0" borderId="27" xfId="0" applyBorder="1" applyAlignment="1">
      <alignment vertical="center"/>
    </xf>
    <xf numFmtId="0" fontId="0" fillId="0" borderId="49" xfId="0" applyBorder="1" applyAlignment="1">
      <alignment vertical="center"/>
    </xf>
    <xf numFmtId="4" fontId="0" fillId="0" borderId="16" xfId="0" applyNumberFormat="1" applyBorder="1" applyAlignment="1">
      <alignment vertical="center"/>
    </xf>
    <xf numFmtId="0" fontId="6" fillId="0" borderId="27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8" xfId="0" applyFont="1" applyBorder="1" applyAlignment="1">
      <alignment horizontal="center" vertical="center"/>
    </xf>
    <xf numFmtId="10" fontId="6" fillId="0" borderId="16" xfId="51" applyNumberFormat="1" applyFont="1" applyBorder="1" applyAlignment="1">
      <alignment horizontal="center" vertical="center"/>
      <protection/>
    </xf>
    <xf numFmtId="0" fontId="6" fillId="0" borderId="0" xfId="0" applyFont="1" applyBorder="1" applyAlignment="1">
      <alignment horizontal="center" vertical="center"/>
    </xf>
    <xf numFmtId="0" fontId="73" fillId="0" borderId="0" xfId="49" applyFont="1" applyBorder="1" applyAlignment="1">
      <alignment vertical="center"/>
      <protection/>
    </xf>
    <xf numFmtId="10" fontId="6" fillId="0" borderId="0" xfId="51" applyNumberFormat="1" applyFont="1" applyBorder="1" applyAlignment="1">
      <alignment horizontal="center" vertical="center"/>
      <protection/>
    </xf>
    <xf numFmtId="0" fontId="73" fillId="0" borderId="0" xfId="49" applyFont="1" applyFill="1" applyBorder="1" applyAlignment="1">
      <alignment vertical="center"/>
      <protection/>
    </xf>
    <xf numFmtId="0" fontId="0" fillId="0" borderId="52" xfId="0" applyBorder="1" applyAlignment="1">
      <alignment vertical="center"/>
    </xf>
    <xf numFmtId="4" fontId="0" fillId="0" borderId="53" xfId="0" applyNumberFormat="1" applyBorder="1" applyAlignment="1">
      <alignment vertical="center"/>
    </xf>
    <xf numFmtId="10" fontId="6" fillId="0" borderId="20" xfId="51" applyNumberFormat="1" applyFont="1" applyBorder="1" applyAlignment="1">
      <alignment horizontal="center" vertical="center"/>
      <protection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4" fontId="10" fillId="0" borderId="55" xfId="0" applyNumberFormat="1" applyFont="1" applyFill="1" applyBorder="1" applyAlignment="1" applyProtection="1">
      <alignment horizontal="right" vertical="center"/>
      <protection locked="0"/>
    </xf>
    <xf numFmtId="10" fontId="10" fillId="0" borderId="36" xfId="53" applyNumberFormat="1" applyFont="1" applyBorder="1" applyAlignment="1">
      <alignment horizontal="center" vertical="center"/>
      <protection locked="0"/>
    </xf>
    <xf numFmtId="190" fontId="10" fillId="0" borderId="56" xfId="55" applyNumberFormat="1" applyFont="1" applyBorder="1" applyAlignment="1" applyProtection="1">
      <alignment horizontal="center" vertical="center"/>
      <protection locked="0"/>
    </xf>
    <xf numFmtId="9" fontId="10" fillId="0" borderId="33" xfId="53" applyNumberFormat="1" applyFont="1" applyBorder="1" applyAlignment="1">
      <alignment horizontal="center" vertical="center"/>
      <protection locked="0"/>
    </xf>
    <xf numFmtId="190" fontId="10" fillId="0" borderId="34" xfId="55" applyNumberFormat="1" applyFont="1" applyBorder="1" applyAlignment="1" applyProtection="1">
      <alignment horizontal="center" vertical="center"/>
      <protection locked="0"/>
    </xf>
    <xf numFmtId="10" fontId="10" fillId="0" borderId="57" xfId="53" applyNumberFormat="1" applyFont="1" applyBorder="1" applyAlignment="1">
      <alignment horizontal="center" vertical="center"/>
      <protection locked="0"/>
    </xf>
    <xf numFmtId="190" fontId="10" fillId="0" borderId="40" xfId="55" applyNumberFormat="1" applyFont="1" applyBorder="1" applyAlignment="1" applyProtection="1">
      <alignment horizontal="center" vertical="center"/>
      <protection locked="0"/>
    </xf>
    <xf numFmtId="4" fontId="10" fillId="0" borderId="38" xfId="0" applyNumberFormat="1" applyFont="1" applyFill="1" applyBorder="1" applyAlignment="1" applyProtection="1">
      <alignment horizontal="right" vertical="center"/>
      <protection locked="0"/>
    </xf>
    <xf numFmtId="10" fontId="10" fillId="0" borderId="26" xfId="53" applyNumberFormat="1" applyFont="1" applyBorder="1" applyAlignment="1">
      <alignment horizontal="center" vertical="center"/>
      <protection locked="0"/>
    </xf>
    <xf numFmtId="190" fontId="10" fillId="0" borderId="27" xfId="55" applyNumberFormat="1" applyFont="1" applyBorder="1" applyAlignment="1" applyProtection="1">
      <alignment horizontal="center" vertical="center"/>
      <protection locked="0"/>
    </xf>
    <xf numFmtId="9" fontId="10" fillId="0" borderId="18" xfId="53" applyNumberFormat="1" applyFont="1" applyBorder="1" applyAlignment="1">
      <alignment horizontal="center" vertical="center"/>
      <protection locked="0"/>
    </xf>
    <xf numFmtId="190" fontId="10" fillId="0" borderId="58" xfId="55" applyNumberFormat="1" applyFont="1" applyBorder="1" applyAlignment="1" applyProtection="1">
      <alignment horizontal="center" vertical="center"/>
      <protection locked="0"/>
    </xf>
    <xf numFmtId="10" fontId="10" fillId="0" borderId="49" xfId="53" applyNumberFormat="1" applyFont="1" applyBorder="1" applyAlignment="1">
      <alignment horizontal="center" vertical="center"/>
      <protection locked="0"/>
    </xf>
    <xf numFmtId="190" fontId="10" fillId="0" borderId="41" xfId="55" applyNumberFormat="1" applyFont="1" applyBorder="1" applyAlignment="1" applyProtection="1">
      <alignment horizontal="center" vertical="center"/>
      <protection locked="0"/>
    </xf>
    <xf numFmtId="4" fontId="10" fillId="0" borderId="41" xfId="0" applyNumberFormat="1" applyFont="1" applyFill="1" applyBorder="1" applyAlignment="1" applyProtection="1">
      <alignment horizontal="right" vertical="center"/>
      <protection locked="0"/>
    </xf>
    <xf numFmtId="10" fontId="10" fillId="0" borderId="59" xfId="53" applyNumberFormat="1" applyFont="1" applyBorder="1" applyAlignment="1">
      <alignment horizontal="center" vertical="center"/>
      <protection locked="0"/>
    </xf>
    <xf numFmtId="10" fontId="10" fillId="0" borderId="23" xfId="53" applyNumberFormat="1" applyFont="1" applyBorder="1" applyAlignment="1">
      <alignment horizontal="center" vertical="center"/>
      <protection locked="0"/>
    </xf>
    <xf numFmtId="10" fontId="10" fillId="0" borderId="60" xfId="53" applyNumberFormat="1" applyFont="1" applyBorder="1" applyAlignment="1">
      <alignment horizontal="center" vertical="center"/>
      <protection locked="0"/>
    </xf>
    <xf numFmtId="4" fontId="10" fillId="0" borderId="30" xfId="0" applyNumberFormat="1" applyFont="1" applyFill="1" applyBorder="1" applyAlignment="1" applyProtection="1">
      <alignment horizontal="right" vertical="center"/>
      <protection locked="0"/>
    </xf>
    <xf numFmtId="10" fontId="10" fillId="0" borderId="21" xfId="53" applyNumberFormat="1" applyFont="1" applyBorder="1" applyAlignment="1">
      <alignment horizontal="center" vertical="center"/>
      <protection locked="0"/>
    </xf>
    <xf numFmtId="190" fontId="10" fillId="0" borderId="61" xfId="55" applyNumberFormat="1" applyFont="1" applyBorder="1" applyAlignment="1" applyProtection="1">
      <alignment horizontal="center" vertical="center"/>
      <protection locked="0"/>
    </xf>
    <xf numFmtId="9" fontId="10" fillId="0" borderId="35" xfId="53" applyNumberFormat="1" applyFont="1" applyBorder="1" applyAlignment="1">
      <alignment horizontal="center" vertical="center"/>
      <protection locked="0"/>
    </xf>
    <xf numFmtId="190" fontId="10" fillId="0" borderId="22" xfId="55" applyNumberFormat="1" applyFont="1" applyBorder="1" applyAlignment="1" applyProtection="1">
      <alignment horizontal="center" vertical="center"/>
      <protection locked="0"/>
    </xf>
    <xf numFmtId="10" fontId="10" fillId="0" borderId="62" xfId="53" applyNumberFormat="1" applyFont="1" applyBorder="1" applyAlignment="1">
      <alignment horizontal="center" vertical="center"/>
      <protection locked="0"/>
    </xf>
    <xf numFmtId="190" fontId="10" fillId="0" borderId="42" xfId="55" applyNumberFormat="1" applyFont="1" applyBorder="1" applyAlignment="1" applyProtection="1">
      <alignment horizontal="center" vertical="center"/>
      <protection locked="0"/>
    </xf>
    <xf numFmtId="0" fontId="13" fillId="0" borderId="1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10" fontId="10" fillId="0" borderId="55" xfId="53" applyNumberFormat="1" applyFont="1" applyBorder="1" applyAlignment="1">
      <alignment horizontal="center" vertical="center"/>
      <protection locked="0"/>
    </xf>
    <xf numFmtId="10" fontId="10" fillId="0" borderId="47" xfId="53" applyNumberFormat="1" applyFont="1" applyBorder="1" applyAlignment="1">
      <alignment horizontal="center" vertical="center"/>
      <protection locked="0"/>
    </xf>
    <xf numFmtId="10" fontId="10" fillId="0" borderId="46" xfId="0" applyNumberFormat="1" applyFont="1" applyFill="1" applyBorder="1" applyAlignment="1" applyProtection="1">
      <alignment horizontal="center" vertical="center"/>
      <protection locked="0"/>
    </xf>
    <xf numFmtId="10" fontId="10" fillId="0" borderId="6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left" vertical="center"/>
    </xf>
    <xf numFmtId="4" fontId="10" fillId="0" borderId="38" xfId="0" applyNumberFormat="1" applyFont="1" applyFill="1" applyBorder="1" applyAlignment="1" applyProtection="1">
      <alignment vertical="center"/>
      <protection locked="0"/>
    </xf>
    <xf numFmtId="0" fontId="13" fillId="0" borderId="13" xfId="0" applyFont="1" applyFill="1" applyBorder="1" applyAlignment="1" applyProtection="1">
      <alignment horizontal="left" vertical="center"/>
      <protection locked="0"/>
    </xf>
    <xf numFmtId="0" fontId="10" fillId="0" borderId="11" xfId="0" applyFont="1" applyBorder="1" applyAlignment="1">
      <alignment horizontal="left" vertical="center"/>
    </xf>
    <xf numFmtId="4" fontId="10" fillId="0" borderId="42" xfId="0" applyNumberFormat="1" applyFont="1" applyFill="1" applyBorder="1" applyAlignment="1" applyProtection="1">
      <alignment horizontal="right" vertical="center"/>
      <protection locked="0"/>
    </xf>
    <xf numFmtId="10" fontId="10" fillId="0" borderId="37" xfId="53" applyNumberFormat="1" applyFont="1" applyBorder="1" applyAlignment="1">
      <alignment horizontal="center" vertical="center"/>
      <protection locked="0"/>
    </xf>
    <xf numFmtId="10" fontId="10" fillId="0" borderId="56" xfId="53" applyNumberFormat="1" applyFont="1" applyBorder="1" applyAlignment="1">
      <alignment horizontal="center" vertical="center"/>
      <protection locked="0"/>
    </xf>
    <xf numFmtId="10" fontId="10" fillId="0" borderId="38" xfId="53" applyNumberFormat="1" applyFont="1" applyBorder="1" applyAlignment="1">
      <alignment horizontal="center" vertical="center"/>
      <protection locked="0"/>
    </xf>
    <xf numFmtId="10" fontId="10" fillId="0" borderId="27" xfId="53" applyNumberFormat="1" applyFont="1" applyBorder="1" applyAlignment="1">
      <alignment horizontal="center" vertical="center"/>
      <protection locked="0"/>
    </xf>
    <xf numFmtId="10" fontId="10" fillId="0" borderId="39" xfId="53" applyNumberFormat="1" applyFont="1" applyBorder="1" applyAlignment="1">
      <alignment horizontal="center" vertical="center"/>
      <protection locked="0"/>
    </xf>
    <xf numFmtId="10" fontId="10" fillId="0" borderId="61" xfId="53" applyNumberFormat="1" applyFont="1" applyBorder="1" applyAlignment="1">
      <alignment horizontal="center" vertical="center"/>
      <protection locked="0"/>
    </xf>
    <xf numFmtId="4" fontId="10" fillId="0" borderId="0" xfId="0" applyNumberFormat="1" applyFont="1" applyFill="1" applyBorder="1" applyAlignment="1" applyProtection="1">
      <alignment horizontal="right" vertical="center"/>
      <protection locked="0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171" fontId="10" fillId="0" borderId="0" xfId="55" applyFont="1" applyFill="1" applyBorder="1" applyAlignment="1" applyProtection="1">
      <alignment horizontal="center" vertical="center"/>
      <protection locked="0"/>
    </xf>
    <xf numFmtId="4" fontId="10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4" fontId="0" fillId="0" borderId="0" xfId="0" applyNumberFormat="1" applyAlignment="1">
      <alignment horizontal="center" vertical="center"/>
    </xf>
    <xf numFmtId="4" fontId="0" fillId="7" borderId="0" xfId="0" applyNumberFormat="1" applyFill="1" applyAlignment="1">
      <alignment vertical="center"/>
    </xf>
    <xf numFmtId="0" fontId="0" fillId="7" borderId="0" xfId="0" applyFill="1" applyAlignment="1">
      <alignment vertical="center"/>
    </xf>
    <xf numFmtId="0" fontId="0" fillId="33" borderId="0" xfId="0" applyFill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71" fillId="0" borderId="14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53" applyFont="1" applyAlignment="1">
      <alignment horizontal="center"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36" borderId="0" xfId="0" applyFill="1" applyAlignment="1">
      <alignment vertical="center"/>
    </xf>
    <xf numFmtId="0" fontId="6" fillId="36" borderId="0" xfId="53" applyFont="1" applyFill="1" applyAlignment="1">
      <alignment horizontal="center" vertical="center"/>
      <protection locked="0"/>
    </xf>
    <xf numFmtId="0" fontId="6" fillId="34" borderId="0" xfId="53" applyFont="1" applyFill="1" applyAlignment="1">
      <alignment horizontal="center" vertical="center"/>
      <protection locked="0"/>
    </xf>
    <xf numFmtId="0" fontId="0" fillId="34" borderId="0" xfId="0" applyFill="1" applyAlignment="1">
      <alignment vertical="center"/>
    </xf>
    <xf numFmtId="0" fontId="8" fillId="0" borderId="0" xfId="53" applyFont="1" applyFill="1" applyAlignment="1">
      <alignment horizontal="center" vertical="center"/>
      <protection locked="0"/>
    </xf>
    <xf numFmtId="0" fontId="20" fillId="0" borderId="0" xfId="0" applyFont="1" applyFill="1" applyAlignment="1">
      <alignment vertical="center"/>
    </xf>
    <xf numFmtId="0" fontId="23" fillId="34" borderId="0" xfId="53" applyFont="1" applyFill="1" applyAlignment="1">
      <alignment horizontal="center" vertical="center"/>
      <protection locked="0"/>
    </xf>
    <xf numFmtId="0" fontId="24" fillId="34" borderId="0" xfId="0" applyFont="1" applyFill="1" applyAlignment="1">
      <alignment vertical="center"/>
    </xf>
    <xf numFmtId="0" fontId="0" fillId="36" borderId="0" xfId="0" applyFill="1" applyAlignment="1">
      <alignment vertical="center" wrapText="1"/>
    </xf>
    <xf numFmtId="0" fontId="0" fillId="0" borderId="0" xfId="0" applyFill="1" applyAlignment="1">
      <alignment horizontal="center" vertical="center" wrapText="1"/>
    </xf>
    <xf numFmtId="0" fontId="0" fillId="34" borderId="0" xfId="0" applyFill="1" applyAlignment="1">
      <alignment horizontal="center" vertical="center" wrapText="1"/>
    </xf>
    <xf numFmtId="0" fontId="0" fillId="36" borderId="0" xfId="0" applyFill="1" applyAlignment="1">
      <alignment horizontal="center" vertical="center" wrapText="1"/>
    </xf>
    <xf numFmtId="0" fontId="0" fillId="0" borderId="64" xfId="0" applyFill="1" applyBorder="1" applyAlignment="1">
      <alignment vertical="center"/>
    </xf>
    <xf numFmtId="43" fontId="0" fillId="0" borderId="0" xfId="0" applyNumberForma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/>
    </xf>
    <xf numFmtId="9" fontId="10" fillId="0" borderId="0" xfId="53" applyNumberFormat="1" applyFont="1" applyBorder="1" applyAlignment="1">
      <alignment horizontal="center" vertical="center"/>
      <protection locked="0"/>
    </xf>
    <xf numFmtId="9" fontId="10" fillId="0" borderId="0" xfId="53" applyNumberFormat="1" applyFont="1" applyFill="1" applyBorder="1" applyAlignment="1">
      <alignment horizontal="center" vertical="center"/>
      <protection locked="0"/>
    </xf>
    <xf numFmtId="9" fontId="6" fillId="0" borderId="0" xfId="53" applyNumberFormat="1" applyFont="1" applyFill="1" applyBorder="1" applyAlignment="1">
      <alignment horizontal="center" vertical="center"/>
      <protection locked="0"/>
    </xf>
    <xf numFmtId="190" fontId="10" fillId="0" borderId="0" xfId="53" applyNumberFormat="1" applyFont="1" applyBorder="1" applyAlignment="1">
      <alignment horizontal="center" vertical="center"/>
      <protection locked="0"/>
    </xf>
    <xf numFmtId="10" fontId="10" fillId="0" borderId="0" xfId="0" applyNumberFormat="1" applyFont="1" applyFill="1" applyBorder="1" applyAlignment="1" applyProtection="1">
      <alignment horizontal="center" vertical="center"/>
      <protection locked="0"/>
    </xf>
    <xf numFmtId="10" fontId="10" fillId="0" borderId="0" xfId="53" applyNumberFormat="1" applyFont="1" applyFill="1" applyBorder="1" applyAlignment="1">
      <alignment horizontal="center" vertical="center"/>
      <protection locked="0"/>
    </xf>
    <xf numFmtId="10" fontId="6" fillId="0" borderId="0" xfId="53" applyNumberFormat="1" applyFont="1" applyFill="1" applyBorder="1" applyAlignment="1">
      <alignment horizontal="center" vertical="center"/>
      <protection locked="0"/>
    </xf>
    <xf numFmtId="187" fontId="10" fillId="0" borderId="0" xfId="0" applyNumberFormat="1" applyFont="1" applyFill="1" applyBorder="1" applyAlignment="1" applyProtection="1">
      <alignment horizontal="center" vertical="center"/>
      <protection locked="0"/>
    </xf>
    <xf numFmtId="4" fontId="6" fillId="0" borderId="0" xfId="0" applyNumberFormat="1" applyFont="1" applyFill="1" applyBorder="1" applyAlignment="1" applyProtection="1">
      <alignment horizontal="center" vertical="center"/>
      <protection locked="0"/>
    </xf>
    <xf numFmtId="191" fontId="6" fillId="36" borderId="18" xfId="45" applyNumberFormat="1" applyFont="1" applyFill="1" applyBorder="1" applyAlignment="1">
      <alignment horizontal="right" vertical="center"/>
    </xf>
    <xf numFmtId="191" fontId="5" fillId="36" borderId="18" xfId="45" applyNumberFormat="1" applyFont="1" applyFill="1" applyBorder="1" applyAlignment="1" applyProtection="1">
      <alignment horizontal="right" vertical="center"/>
      <protection locked="0"/>
    </xf>
    <xf numFmtId="191" fontId="5" fillId="36" borderId="58" xfId="45" applyNumberFormat="1" applyFont="1" applyFill="1" applyBorder="1" applyAlignment="1" applyProtection="1">
      <alignment horizontal="right" vertical="center"/>
      <protection locked="0"/>
    </xf>
    <xf numFmtId="191" fontId="6" fillId="0" borderId="17" xfId="45" applyNumberFormat="1" applyFont="1" applyFill="1" applyBorder="1" applyAlignment="1" applyProtection="1">
      <alignment horizontal="right" vertical="center" wrapText="1"/>
      <protection locked="0"/>
    </xf>
    <xf numFmtId="191" fontId="6" fillId="0" borderId="25" xfId="45" applyNumberFormat="1" applyFont="1" applyFill="1" applyBorder="1" applyAlignment="1" applyProtection="1">
      <alignment horizontal="right" vertical="center"/>
      <protection locked="0"/>
    </xf>
    <xf numFmtId="191" fontId="6" fillId="36" borderId="17" xfId="45" applyNumberFormat="1" applyFont="1" applyFill="1" applyBorder="1" applyAlignment="1" applyProtection="1">
      <alignment horizontal="right" vertical="center" wrapText="1"/>
      <protection locked="0"/>
    </xf>
    <xf numFmtId="191" fontId="6" fillId="34" borderId="17" xfId="45" applyNumberFormat="1" applyFont="1" applyFill="1" applyBorder="1" applyAlignment="1" applyProtection="1">
      <alignment horizontal="right" vertical="center" wrapText="1"/>
      <protection locked="0"/>
    </xf>
    <xf numFmtId="191" fontId="5" fillId="34" borderId="18" xfId="45" applyNumberFormat="1" applyFont="1" applyFill="1" applyBorder="1" applyAlignment="1" applyProtection="1">
      <alignment horizontal="right" vertical="center"/>
      <protection locked="0"/>
    </xf>
    <xf numFmtId="191" fontId="5" fillId="34" borderId="58" xfId="45" applyNumberFormat="1" applyFont="1" applyFill="1" applyBorder="1" applyAlignment="1" applyProtection="1">
      <alignment horizontal="right" vertical="center"/>
      <protection locked="0"/>
    </xf>
    <xf numFmtId="191" fontId="23" fillId="34" borderId="17" xfId="45" applyNumberFormat="1" applyFont="1" applyFill="1" applyBorder="1" applyAlignment="1" applyProtection="1">
      <alignment horizontal="right" vertical="center" wrapText="1"/>
      <protection locked="0"/>
    </xf>
    <xf numFmtId="191" fontId="22" fillId="34" borderId="18" xfId="45" applyNumberFormat="1" applyFont="1" applyFill="1" applyBorder="1" applyAlignment="1" applyProtection="1">
      <alignment horizontal="right" vertical="center"/>
      <protection locked="0"/>
    </xf>
    <xf numFmtId="191" fontId="22" fillId="34" borderId="58" xfId="45" applyNumberFormat="1" applyFont="1" applyFill="1" applyBorder="1" applyAlignment="1" applyProtection="1">
      <alignment horizontal="right" vertical="center"/>
      <protection locked="0"/>
    </xf>
    <xf numFmtId="191" fontId="11" fillId="34" borderId="58" xfId="45" applyNumberFormat="1" applyFont="1" applyFill="1" applyBorder="1" applyAlignment="1" applyProtection="1">
      <alignment horizontal="right" vertical="center"/>
      <protection locked="0"/>
    </xf>
    <xf numFmtId="191" fontId="6" fillId="0" borderId="35" xfId="45" applyNumberFormat="1" applyFont="1" applyFill="1" applyBorder="1" applyAlignment="1" applyProtection="1">
      <alignment horizontal="right" vertical="center" wrapText="1"/>
      <protection locked="0"/>
    </xf>
    <xf numFmtId="191" fontId="6" fillId="0" borderId="22" xfId="45" applyNumberFormat="1" applyFont="1" applyFill="1" applyBorder="1" applyAlignment="1" applyProtection="1">
      <alignment horizontal="right" vertical="center"/>
      <protection locked="0"/>
    </xf>
    <xf numFmtId="191" fontId="6" fillId="35" borderId="11" xfId="45" applyNumberFormat="1" applyFont="1" applyFill="1" applyBorder="1" applyAlignment="1">
      <alignment vertical="center"/>
    </xf>
    <xf numFmtId="191" fontId="5" fillId="35" borderId="11" xfId="45" applyNumberFormat="1" applyFont="1" applyFill="1" applyBorder="1" applyAlignment="1" applyProtection="1">
      <alignment horizontal="right" vertical="center"/>
      <protection locked="0"/>
    </xf>
    <xf numFmtId="0" fontId="6" fillId="0" borderId="0" xfId="0" applyNumberFormat="1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horizontal="center" vertical="center"/>
    </xf>
    <xf numFmtId="2" fontId="6" fillId="0" borderId="0" xfId="0" applyNumberFormat="1" applyFont="1" applyFill="1" applyBorder="1" applyAlignment="1" applyProtection="1">
      <alignment horizontal="center" vertical="center"/>
      <protection locked="0"/>
    </xf>
    <xf numFmtId="191" fontId="5" fillId="36" borderId="0" xfId="45" applyNumberFormat="1" applyFont="1" applyFill="1" applyBorder="1" applyAlignment="1" applyProtection="1">
      <alignment horizontal="right" vertical="center"/>
      <protection locked="0"/>
    </xf>
    <xf numFmtId="191" fontId="6" fillId="0" borderId="0" xfId="45" applyNumberFormat="1" applyFont="1" applyFill="1" applyBorder="1" applyAlignment="1" applyProtection="1">
      <alignment horizontal="right" vertical="center"/>
      <protection locked="0"/>
    </xf>
    <xf numFmtId="191" fontId="5" fillId="34" borderId="0" xfId="45" applyNumberFormat="1" applyFont="1" applyFill="1" applyBorder="1" applyAlignment="1" applyProtection="1">
      <alignment horizontal="right" vertical="center"/>
      <protection locked="0"/>
    </xf>
    <xf numFmtId="191" fontId="22" fillId="34" borderId="0" xfId="45" applyNumberFormat="1" applyFont="1" applyFill="1" applyBorder="1" applyAlignment="1" applyProtection="1">
      <alignment horizontal="right" vertical="center"/>
      <protection locked="0"/>
    </xf>
    <xf numFmtId="191" fontId="11" fillId="34" borderId="0" xfId="45" applyNumberFormat="1" applyFont="1" applyFill="1" applyBorder="1" applyAlignment="1" applyProtection="1">
      <alignment horizontal="right" vertical="center"/>
      <protection locked="0"/>
    </xf>
    <xf numFmtId="191" fontId="5" fillId="35" borderId="0" xfId="45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Border="1" applyAlignment="1">
      <alignment horizontal="left" vertical="center"/>
    </xf>
    <xf numFmtId="190" fontId="10" fillId="0" borderId="0" xfId="55" applyNumberFormat="1" applyFont="1" applyBorder="1" applyAlignment="1" applyProtection="1">
      <alignment horizontal="center" vertical="center"/>
      <protection locked="0"/>
    </xf>
    <xf numFmtId="10" fontId="10" fillId="0" borderId="0" xfId="53" applyNumberFormat="1" applyFont="1" applyBorder="1" applyAlignment="1">
      <alignment horizontal="center" vertical="center"/>
      <protection locked="0"/>
    </xf>
    <xf numFmtId="0" fontId="13" fillId="0" borderId="0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191" fontId="6" fillId="37" borderId="17" xfId="45" applyNumberFormat="1" applyFont="1" applyFill="1" applyBorder="1" applyAlignment="1" applyProtection="1">
      <alignment horizontal="right" vertical="center" wrapText="1"/>
      <protection locked="0"/>
    </xf>
    <xf numFmtId="191" fontId="6" fillId="37" borderId="25" xfId="45" applyNumberFormat="1" applyFont="1" applyFill="1" applyBorder="1" applyAlignment="1" applyProtection="1">
      <alignment horizontal="right" vertical="center"/>
      <protection locked="0"/>
    </xf>
    <xf numFmtId="4" fontId="6" fillId="15" borderId="0" xfId="53" applyNumberFormat="1" applyFont="1" applyFill="1" applyBorder="1" applyAlignment="1">
      <alignment horizontal="center" vertical="center"/>
      <protection locked="0"/>
    </xf>
    <xf numFmtId="49" fontId="44" fillId="0" borderId="0" xfId="49" applyNumberFormat="1" applyFont="1" applyBorder="1" applyAlignment="1">
      <alignment horizontal="left" vertical="center"/>
      <protection/>
    </xf>
    <xf numFmtId="4" fontId="45" fillId="0" borderId="0" xfId="49" applyNumberFormat="1" applyFont="1" applyBorder="1" applyAlignment="1">
      <alignment horizontal="left" vertical="center"/>
      <protection/>
    </xf>
    <xf numFmtId="4" fontId="45" fillId="0" borderId="0" xfId="49" applyNumberFormat="1" applyFont="1" applyBorder="1" applyAlignment="1">
      <alignment horizontal="right" vertical="center"/>
      <protection/>
    </xf>
    <xf numFmtId="0" fontId="44" fillId="0" borderId="0" xfId="49" applyNumberFormat="1" applyFont="1" applyBorder="1" applyAlignment="1">
      <alignment horizontal="left" vertical="center"/>
      <protection/>
    </xf>
    <xf numFmtId="0" fontId="46" fillId="0" borderId="0" xfId="49" applyFont="1" applyBorder="1" applyAlignment="1">
      <alignment vertical="center"/>
      <protection/>
    </xf>
    <xf numFmtId="0" fontId="47" fillId="0" borderId="0" xfId="49" applyFont="1" applyBorder="1" applyAlignment="1">
      <alignment vertical="center"/>
      <protection/>
    </xf>
    <xf numFmtId="4" fontId="47" fillId="0" borderId="0" xfId="49" applyNumberFormat="1" applyFont="1" applyBorder="1" applyAlignment="1">
      <alignment vertical="center"/>
      <protection/>
    </xf>
    <xf numFmtId="0" fontId="48" fillId="0" borderId="0" xfId="49" applyFont="1" applyBorder="1" applyAlignment="1">
      <alignment vertical="center"/>
      <protection/>
    </xf>
    <xf numFmtId="0" fontId="44" fillId="0" borderId="0" xfId="49" applyFont="1" applyBorder="1" applyAlignment="1">
      <alignment vertical="center"/>
      <protection/>
    </xf>
    <xf numFmtId="2" fontId="44" fillId="0" borderId="24" xfId="49" applyNumberFormat="1" applyFont="1" applyFill="1" applyBorder="1" applyAlignment="1" applyProtection="1">
      <alignment horizontal="center" vertical="center"/>
      <protection locked="0"/>
    </xf>
    <xf numFmtId="2" fontId="44" fillId="0" borderId="17" xfId="49" applyNumberFormat="1" applyFont="1" applyFill="1" applyBorder="1" applyAlignment="1" applyProtection="1">
      <alignment horizontal="center" vertical="center"/>
      <protection locked="0"/>
    </xf>
    <xf numFmtId="44" fontId="44" fillId="0" borderId="17" xfId="49" applyNumberFormat="1" applyFont="1" applyFill="1" applyBorder="1" applyAlignment="1" applyProtection="1">
      <alignment horizontal="center" vertical="center" wrapText="1"/>
      <protection locked="0"/>
    </xf>
    <xf numFmtId="2" fontId="44" fillId="0" borderId="17" xfId="49" applyNumberFormat="1" applyFont="1" applyFill="1" applyBorder="1" applyAlignment="1" applyProtection="1">
      <alignment horizontal="center" vertical="center" wrapText="1"/>
      <protection locked="0"/>
    </xf>
    <xf numFmtId="2" fontId="44" fillId="36" borderId="18" xfId="49" applyNumberFormat="1" applyFont="1" applyFill="1" applyBorder="1" applyAlignment="1">
      <alignment horizontal="right" vertical="center"/>
      <protection/>
    </xf>
    <xf numFmtId="44" fontId="44" fillId="36" borderId="18" xfId="49" applyNumberFormat="1" applyFont="1" applyFill="1" applyBorder="1" applyAlignment="1">
      <alignment horizontal="right" vertical="center"/>
      <protection/>
    </xf>
    <xf numFmtId="191" fontId="44" fillId="36" borderId="18" xfId="47" applyNumberFormat="1" applyFont="1" applyFill="1" applyBorder="1" applyAlignment="1">
      <alignment horizontal="right" vertical="center"/>
    </xf>
    <xf numFmtId="191" fontId="45" fillId="36" borderId="18" xfId="47" applyNumberFormat="1" applyFont="1" applyFill="1" applyBorder="1" applyAlignment="1" applyProtection="1">
      <alignment horizontal="right" vertical="center"/>
      <protection locked="0"/>
    </xf>
    <xf numFmtId="2" fontId="49" fillId="0" borderId="18" xfId="49" applyNumberFormat="1" applyFont="1" applyFill="1" applyBorder="1" applyAlignment="1" applyProtection="1">
      <alignment horizontal="left" vertical="center"/>
      <protection locked="0"/>
    </xf>
    <xf numFmtId="2" fontId="49" fillId="0" borderId="18" xfId="49" applyNumberFormat="1" applyFont="1" applyFill="1" applyBorder="1" applyAlignment="1" applyProtection="1">
      <alignment horizontal="center" vertical="center"/>
      <protection locked="0"/>
    </xf>
    <xf numFmtId="2" fontId="44" fillId="0" borderId="18" xfId="49" applyNumberFormat="1" applyFont="1" applyFill="1" applyBorder="1" applyAlignment="1">
      <alignment horizontal="center" vertical="center"/>
      <protection/>
    </xf>
    <xf numFmtId="191" fontId="44" fillId="0" borderId="18" xfId="47" applyNumberFormat="1" applyFont="1" applyFill="1" applyBorder="1" applyAlignment="1" applyProtection="1">
      <alignment horizontal="right" vertical="center" wrapText="1"/>
      <protection locked="0"/>
    </xf>
    <xf numFmtId="2" fontId="44" fillId="0" borderId="18" xfId="49" applyNumberFormat="1" applyFont="1" applyFill="1" applyBorder="1" applyAlignment="1" applyProtection="1">
      <alignment horizontal="center" vertical="center"/>
      <protection locked="0"/>
    </xf>
    <xf numFmtId="44" fontId="44" fillId="0" borderId="18" xfId="49" applyNumberFormat="1" applyFont="1" applyFill="1" applyBorder="1" applyAlignment="1">
      <alignment horizontal="center" vertical="center"/>
      <protection/>
    </xf>
    <xf numFmtId="191" fontId="44" fillId="0" borderId="18" xfId="47" applyNumberFormat="1" applyFont="1" applyFill="1" applyBorder="1" applyAlignment="1" applyProtection="1">
      <alignment horizontal="right" vertical="center"/>
      <protection locked="0"/>
    </xf>
    <xf numFmtId="2" fontId="50" fillId="36" borderId="18" xfId="49" applyNumberFormat="1" applyFont="1" applyFill="1" applyBorder="1" applyAlignment="1" applyProtection="1">
      <alignment horizontal="left" vertical="center"/>
      <protection locked="0"/>
    </xf>
    <xf numFmtId="1" fontId="50" fillId="36" borderId="18" xfId="49" applyNumberFormat="1" applyFont="1" applyFill="1" applyBorder="1" applyAlignment="1" applyProtection="1">
      <alignment horizontal="left" vertical="center"/>
      <protection locked="0"/>
    </xf>
    <xf numFmtId="2" fontId="44" fillId="36" borderId="18" xfId="49" applyNumberFormat="1" applyFont="1" applyFill="1" applyBorder="1" applyAlignment="1" applyProtection="1">
      <alignment horizontal="center" vertical="center"/>
      <protection locked="0"/>
    </xf>
    <xf numFmtId="44" fontId="44" fillId="36" borderId="18" xfId="49" applyNumberFormat="1" applyFont="1" applyFill="1" applyBorder="1" applyAlignment="1" applyProtection="1">
      <alignment horizontal="center" vertical="center"/>
      <protection locked="0"/>
    </xf>
    <xf numFmtId="2" fontId="44" fillId="36" borderId="18" xfId="49" applyNumberFormat="1" applyFont="1" applyFill="1" applyBorder="1" applyAlignment="1" applyProtection="1">
      <alignment horizontal="center" vertical="center" wrapText="1"/>
      <protection locked="0"/>
    </xf>
    <xf numFmtId="44" fontId="45" fillId="36" borderId="18" xfId="49" applyNumberFormat="1" applyFont="1" applyFill="1" applyBorder="1" applyAlignment="1" applyProtection="1">
      <alignment horizontal="center" vertical="center" wrapText="1"/>
      <protection locked="0"/>
    </xf>
    <xf numFmtId="44" fontId="45" fillId="36" borderId="18" xfId="49" applyNumberFormat="1" applyFont="1" applyFill="1" applyBorder="1" applyAlignment="1" applyProtection="1">
      <alignment horizontal="center" vertical="center"/>
      <protection locked="0"/>
    </xf>
    <xf numFmtId="2" fontId="44" fillId="0" borderId="18" xfId="49" applyNumberFormat="1" applyFont="1" applyFill="1" applyBorder="1" applyAlignment="1" applyProtection="1">
      <alignment horizontal="left" vertical="center"/>
      <protection locked="0"/>
    </xf>
    <xf numFmtId="44" fontId="44" fillId="0" borderId="18" xfId="49" applyNumberFormat="1" applyFont="1" applyFill="1" applyBorder="1" applyAlignment="1" applyProtection="1">
      <alignment horizontal="center" vertical="center"/>
      <protection locked="0"/>
    </xf>
    <xf numFmtId="191" fontId="44" fillId="36" borderId="18" xfId="47" applyNumberFormat="1" applyFont="1" applyFill="1" applyBorder="1" applyAlignment="1" applyProtection="1">
      <alignment horizontal="right" vertical="center" wrapText="1"/>
      <protection locked="0"/>
    </xf>
    <xf numFmtId="44" fontId="49" fillId="0" borderId="18" xfId="49" applyNumberFormat="1" applyFont="1" applyFill="1" applyBorder="1" applyAlignment="1" applyProtection="1">
      <alignment horizontal="center" vertical="center"/>
      <protection locked="0"/>
    </xf>
    <xf numFmtId="191" fontId="51" fillId="0" borderId="18" xfId="47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48" fillId="0" borderId="0" xfId="0" applyFont="1" applyAlignment="1">
      <alignment horizontal="center"/>
    </xf>
    <xf numFmtId="0" fontId="52" fillId="0" borderId="0" xfId="0" applyFont="1" applyAlignment="1">
      <alignment horizontal="center"/>
    </xf>
    <xf numFmtId="2" fontId="50" fillId="36" borderId="18" xfId="49" applyNumberFormat="1" applyFont="1" applyFill="1" applyBorder="1" applyAlignment="1" applyProtection="1">
      <alignment horizontal="left" vertical="center"/>
      <protection locked="0"/>
    </xf>
    <xf numFmtId="2" fontId="50" fillId="36" borderId="27" xfId="49" applyNumberFormat="1" applyFont="1" applyFill="1" applyBorder="1" applyAlignment="1" applyProtection="1">
      <alignment horizontal="left" vertical="center"/>
      <protection locked="0"/>
    </xf>
    <xf numFmtId="2" fontId="44" fillId="36" borderId="49" xfId="49" applyNumberFormat="1" applyFont="1" applyFill="1" applyBorder="1" applyAlignment="1">
      <alignment horizontal="right" vertical="center"/>
      <protection/>
    </xf>
    <xf numFmtId="44" fontId="44" fillId="36" borderId="49" xfId="49" applyNumberFormat="1" applyFont="1" applyFill="1" applyBorder="1" applyAlignment="1">
      <alignment horizontal="right" vertical="center"/>
      <protection/>
    </xf>
    <xf numFmtId="191" fontId="44" fillId="36" borderId="49" xfId="47" applyNumberFormat="1" applyFont="1" applyFill="1" applyBorder="1" applyAlignment="1" applyProtection="1">
      <alignment horizontal="right" vertical="center" wrapText="1"/>
      <protection locked="0"/>
    </xf>
    <xf numFmtId="191" fontId="45" fillId="36" borderId="16" xfId="47" applyNumberFormat="1" applyFont="1" applyFill="1" applyBorder="1" applyAlignment="1" applyProtection="1">
      <alignment horizontal="right" vertical="center"/>
      <protection locked="0"/>
    </xf>
    <xf numFmtId="191" fontId="45" fillId="36" borderId="49" xfId="47" applyNumberFormat="1" applyFont="1" applyFill="1" applyBorder="1" applyAlignment="1" applyProtection="1">
      <alignment horizontal="right" vertical="center"/>
      <protection locked="0"/>
    </xf>
    <xf numFmtId="0" fontId="0" fillId="0" borderId="52" xfId="0" applyBorder="1" applyAlignment="1">
      <alignment/>
    </xf>
    <xf numFmtId="49" fontId="44" fillId="0" borderId="27" xfId="49" applyNumberFormat="1" applyFont="1" applyBorder="1" applyAlignment="1">
      <alignment horizontal="left" vertical="center"/>
      <protection/>
    </xf>
    <xf numFmtId="0" fontId="18" fillId="0" borderId="1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71" fillId="0" borderId="14" xfId="0" applyFont="1" applyBorder="1" applyAlignment="1">
      <alignment horizontal="center" vertical="center" wrapText="1"/>
    </xf>
    <xf numFmtId="0" fontId="71" fillId="0" borderId="0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 wrapText="1"/>
    </xf>
    <xf numFmtId="0" fontId="5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191" fontId="5" fillId="0" borderId="11" xfId="55" applyNumberFormat="1" applyFont="1" applyBorder="1" applyAlignment="1">
      <alignment horizontal="center" vertical="center"/>
    </xf>
    <xf numFmtId="191" fontId="5" fillId="0" borderId="0" xfId="55" applyNumberFormat="1" applyFont="1" applyBorder="1" applyAlignment="1">
      <alignment horizontal="center" vertical="center"/>
    </xf>
    <xf numFmtId="0" fontId="10" fillId="0" borderId="65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67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68" xfId="0" applyNumberFormat="1" applyFont="1" applyFill="1" applyBorder="1" applyAlignment="1" applyProtection="1">
      <alignment horizontal="center" vertical="center"/>
      <protection locked="0"/>
    </xf>
    <xf numFmtId="0" fontId="10" fillId="0" borderId="69" xfId="0" applyNumberFormat="1" applyFont="1" applyFill="1" applyBorder="1" applyAlignment="1" applyProtection="1">
      <alignment horizontal="center" vertical="center"/>
      <protection locked="0"/>
    </xf>
    <xf numFmtId="0" fontId="10" fillId="0" borderId="70" xfId="0" applyNumberFormat="1" applyFont="1" applyFill="1" applyBorder="1" applyAlignment="1" applyProtection="1">
      <alignment horizontal="center" vertical="center"/>
      <protection locked="0"/>
    </xf>
    <xf numFmtId="0" fontId="10" fillId="0" borderId="43" xfId="0" applyNumberFormat="1" applyFont="1" applyFill="1" applyBorder="1" applyAlignment="1" applyProtection="1">
      <alignment horizontal="center" vertical="center"/>
      <protection locked="0"/>
    </xf>
    <xf numFmtId="0" fontId="10" fillId="0" borderId="50" xfId="0" applyNumberFormat="1" applyFont="1" applyFill="1" applyBorder="1" applyAlignment="1" applyProtection="1">
      <alignment horizontal="center" vertical="center"/>
      <protection locked="0"/>
    </xf>
    <xf numFmtId="49" fontId="21" fillId="0" borderId="14" xfId="0" applyNumberFormat="1" applyFont="1" applyBorder="1" applyAlignment="1">
      <alignment horizontal="center" vertical="center"/>
    </xf>
    <xf numFmtId="49" fontId="21" fillId="0" borderId="0" xfId="0" applyNumberFormat="1" applyFont="1" applyBorder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49" fontId="5" fillId="0" borderId="71" xfId="0" applyNumberFormat="1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5" fillId="0" borderId="14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0" fillId="0" borderId="13" xfId="0" applyNumberFormat="1" applyFont="1" applyFill="1" applyBorder="1" applyAlignment="1" applyProtection="1">
      <alignment horizontal="center" vertical="center"/>
      <protection locked="0"/>
    </xf>
    <xf numFmtId="0" fontId="10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48" xfId="0" applyNumberFormat="1" applyFont="1" applyFill="1" applyBorder="1" applyAlignment="1" applyProtection="1">
      <alignment horizontal="center" vertical="center"/>
      <protection locked="0"/>
    </xf>
    <xf numFmtId="0" fontId="10" fillId="0" borderId="72" xfId="0" applyNumberFormat="1" applyFont="1" applyFill="1" applyBorder="1" applyAlignment="1" applyProtection="1">
      <alignment horizontal="center" vertical="center"/>
      <protection locked="0"/>
    </xf>
    <xf numFmtId="0" fontId="10" fillId="0" borderId="73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43" xfId="0" applyFont="1" applyFill="1" applyBorder="1" applyAlignment="1" applyProtection="1">
      <alignment horizontal="center" vertical="center"/>
      <protection locked="0"/>
    </xf>
    <xf numFmtId="0" fontId="10" fillId="0" borderId="37" xfId="0" applyFont="1" applyFill="1" applyBorder="1" applyAlignment="1" applyProtection="1">
      <alignment horizontal="center" vertical="center"/>
      <protection locked="0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32" xfId="0" applyFont="1" applyFill="1" applyBorder="1" applyAlignment="1" applyProtection="1">
      <alignment horizontal="center" vertical="center"/>
      <protection locked="0"/>
    </xf>
    <xf numFmtId="0" fontId="10" fillId="0" borderId="48" xfId="0" applyFont="1" applyFill="1" applyBorder="1" applyAlignment="1" applyProtection="1">
      <alignment horizontal="center" vertical="center"/>
      <protection locked="0"/>
    </xf>
    <xf numFmtId="2" fontId="11" fillId="0" borderId="27" xfId="0" applyNumberFormat="1" applyFont="1" applyFill="1" applyBorder="1" applyAlignment="1" applyProtection="1">
      <alignment horizontal="left" vertical="center"/>
      <protection locked="0"/>
    </xf>
    <xf numFmtId="2" fontId="11" fillId="0" borderId="49" xfId="0" applyNumberFormat="1" applyFont="1" applyFill="1" applyBorder="1" applyAlignment="1" applyProtection="1">
      <alignment horizontal="left" vertical="center"/>
      <protection locked="0"/>
    </xf>
    <xf numFmtId="2" fontId="11" fillId="0" borderId="16" xfId="0" applyNumberFormat="1" applyFont="1" applyFill="1" applyBorder="1" applyAlignment="1" applyProtection="1">
      <alignment horizontal="left" vertical="center"/>
      <protection locked="0"/>
    </xf>
    <xf numFmtId="2" fontId="11" fillId="0" borderId="18" xfId="0" applyNumberFormat="1" applyFont="1" applyFill="1" applyBorder="1" applyAlignment="1" applyProtection="1">
      <alignment horizontal="left" vertical="center" wrapText="1"/>
      <protection locked="0"/>
    </xf>
    <xf numFmtId="2" fontId="11" fillId="0" borderId="27" xfId="0" applyNumberFormat="1" applyFont="1" applyFill="1" applyBorder="1" applyAlignment="1" applyProtection="1">
      <alignment horizontal="left" vertical="center" wrapText="1"/>
      <protection locked="0"/>
    </xf>
    <xf numFmtId="2" fontId="11" fillId="0" borderId="49" xfId="0" applyNumberFormat="1" applyFont="1" applyFill="1" applyBorder="1" applyAlignment="1" applyProtection="1">
      <alignment horizontal="left" vertical="center" wrapText="1"/>
      <protection locked="0"/>
    </xf>
    <xf numFmtId="2" fontId="11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17" fillId="0" borderId="27" xfId="0" applyNumberFormat="1" applyFont="1" applyFill="1" applyBorder="1" applyAlignment="1" applyProtection="1">
      <alignment horizontal="left" vertical="center" wrapText="1"/>
      <protection locked="0"/>
    </xf>
    <xf numFmtId="2" fontId="17" fillId="0" borderId="49" xfId="0" applyNumberFormat="1" applyFont="1" applyFill="1" applyBorder="1" applyAlignment="1" applyProtection="1">
      <alignment horizontal="left" vertical="center" wrapText="1"/>
      <protection locked="0"/>
    </xf>
    <xf numFmtId="2" fontId="17" fillId="0" borderId="16" xfId="0" applyNumberFormat="1" applyFont="1" applyFill="1" applyBorder="1" applyAlignment="1" applyProtection="1">
      <alignment horizontal="left" vertical="center" wrapText="1"/>
      <protection locked="0"/>
    </xf>
    <xf numFmtId="2" fontId="12" fillId="36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56" xfId="0" applyNumberFormat="1" applyFont="1" applyFill="1" applyBorder="1" applyAlignment="1" applyProtection="1">
      <alignment horizontal="center" vertical="center"/>
      <protection locked="0"/>
    </xf>
    <xf numFmtId="0" fontId="10" fillId="0" borderId="57" xfId="0" applyNumberFormat="1" applyFont="1" applyFill="1" applyBorder="1" applyAlignment="1" applyProtection="1">
      <alignment horizontal="center" vertical="center"/>
      <protection locked="0"/>
    </xf>
    <xf numFmtId="49" fontId="5" fillId="0" borderId="74" xfId="0" applyNumberFormat="1" applyFont="1" applyBorder="1" applyAlignment="1">
      <alignment horizontal="center" vertical="center"/>
    </xf>
    <xf numFmtId="49" fontId="5" fillId="0" borderId="75" xfId="0" applyNumberFormat="1" applyFont="1" applyBorder="1" applyAlignment="1">
      <alignment horizontal="center" vertical="center"/>
    </xf>
    <xf numFmtId="2" fontId="6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71" fillId="0" borderId="14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1" fillId="0" borderId="10" xfId="0" applyFont="1" applyBorder="1" applyAlignment="1">
      <alignment horizontal="center" vertical="center"/>
    </xf>
    <xf numFmtId="0" fontId="13" fillId="0" borderId="74" xfId="0" applyNumberFormat="1" applyFont="1" applyFill="1" applyBorder="1" applyAlignment="1" applyProtection="1">
      <alignment horizontal="center" vertical="center"/>
      <protection locked="0"/>
    </xf>
    <xf numFmtId="0" fontId="13" fillId="0" borderId="71" xfId="0" applyNumberFormat="1" applyFont="1" applyFill="1" applyBorder="1" applyAlignment="1" applyProtection="1">
      <alignment horizontal="center" vertical="center"/>
      <protection locked="0"/>
    </xf>
    <xf numFmtId="0" fontId="13" fillId="0" borderId="75" xfId="0" applyNumberFormat="1" applyFont="1" applyFill="1" applyBorder="1" applyAlignment="1" applyProtection="1">
      <alignment horizontal="center" vertical="center"/>
      <protection locked="0"/>
    </xf>
    <xf numFmtId="2" fontId="11" fillId="0" borderId="18" xfId="0" applyNumberFormat="1" applyFont="1" applyFill="1" applyBorder="1" applyAlignment="1" applyProtection="1">
      <alignment horizontal="left" vertical="center"/>
      <protection locked="0"/>
    </xf>
    <xf numFmtId="2" fontId="6" fillId="0" borderId="18" xfId="0" applyNumberFormat="1" applyFont="1" applyFill="1" applyBorder="1" applyAlignment="1" applyProtection="1">
      <alignment horizontal="left" vertical="center"/>
      <protection locked="0"/>
    </xf>
    <xf numFmtId="0" fontId="10" fillId="0" borderId="13" xfId="0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71" fontId="10" fillId="0" borderId="44" xfId="55" applyFont="1" applyFill="1" applyBorder="1" applyAlignment="1" applyProtection="1">
      <alignment horizontal="center" vertical="center"/>
      <protection locked="0"/>
    </xf>
    <xf numFmtId="171" fontId="10" fillId="0" borderId="38" xfId="55" applyFont="1" applyFill="1" applyBorder="1" applyAlignment="1" applyProtection="1">
      <alignment horizontal="center" vertical="center"/>
      <protection locked="0"/>
    </xf>
    <xf numFmtId="0" fontId="72" fillId="0" borderId="14" xfId="49" applyFont="1" applyFill="1" applyBorder="1" applyAlignment="1">
      <alignment horizontal="center" vertical="center"/>
      <protection/>
    </xf>
    <xf numFmtId="0" fontId="72" fillId="0" borderId="0" xfId="49" applyFont="1" applyFill="1" applyBorder="1" applyAlignment="1">
      <alignment horizontal="center" vertical="center"/>
      <protection/>
    </xf>
    <xf numFmtId="0" fontId="72" fillId="0" borderId="53" xfId="49" applyFont="1" applyFill="1" applyBorder="1" applyAlignment="1">
      <alignment horizontal="center" vertical="center"/>
      <protection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30" xfId="0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left" vertical="center"/>
      <protection locked="0"/>
    </xf>
    <xf numFmtId="0" fontId="10" fillId="0" borderId="32" xfId="0" applyNumberFormat="1" applyFont="1" applyFill="1" applyBorder="1" applyAlignment="1" applyProtection="1">
      <alignment horizontal="left" vertical="center"/>
      <protection locked="0"/>
    </xf>
    <xf numFmtId="0" fontId="10" fillId="0" borderId="48" xfId="0" applyNumberFormat="1" applyFont="1" applyFill="1" applyBorder="1" applyAlignment="1" applyProtection="1">
      <alignment horizontal="left" vertical="center"/>
      <protection locked="0"/>
    </xf>
    <xf numFmtId="49" fontId="10" fillId="0" borderId="14" xfId="0" applyNumberFormat="1" applyFont="1" applyBorder="1" applyAlignment="1">
      <alignment horizontal="left" vertical="center" wrapText="1"/>
    </xf>
    <xf numFmtId="49" fontId="10" fillId="0" borderId="0" xfId="0" applyNumberFormat="1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left" vertical="center" wrapText="1"/>
    </xf>
    <xf numFmtId="49" fontId="10" fillId="0" borderId="13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171" fontId="10" fillId="0" borderId="45" xfId="55" applyFont="1" applyFill="1" applyBorder="1" applyAlignment="1" applyProtection="1">
      <alignment horizontal="center" vertical="center"/>
      <protection locked="0"/>
    </xf>
    <xf numFmtId="171" fontId="10" fillId="0" borderId="39" xfId="55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NumberFormat="1" applyFont="1" applyFill="1" applyBorder="1" applyAlignment="1" applyProtection="1">
      <alignment horizontal="left" vertical="center"/>
      <protection locked="0"/>
    </xf>
    <xf numFmtId="0" fontId="10" fillId="0" borderId="10" xfId="0" applyNumberFormat="1" applyFont="1" applyFill="1" applyBorder="1" applyAlignment="1" applyProtection="1">
      <alignment horizontal="left" vertical="center"/>
      <protection locked="0"/>
    </xf>
    <xf numFmtId="2" fontId="17" fillId="0" borderId="27" xfId="0" applyNumberFormat="1" applyFont="1" applyFill="1" applyBorder="1" applyAlignment="1" applyProtection="1">
      <alignment horizontal="left" vertical="center"/>
      <protection locked="0"/>
    </xf>
    <xf numFmtId="2" fontId="17" fillId="0" borderId="49" xfId="0" applyNumberFormat="1" applyFont="1" applyFill="1" applyBorder="1" applyAlignment="1" applyProtection="1">
      <alignment horizontal="left" vertical="center"/>
      <protection locked="0"/>
    </xf>
    <xf numFmtId="2" fontId="17" fillId="0" borderId="16" xfId="0" applyNumberFormat="1" applyFont="1" applyFill="1" applyBorder="1" applyAlignment="1" applyProtection="1">
      <alignment horizontal="left" vertical="center"/>
      <protection locked="0"/>
    </xf>
    <xf numFmtId="171" fontId="10" fillId="0" borderId="49" xfId="55" applyFont="1" applyFill="1" applyBorder="1" applyAlignment="1" applyProtection="1">
      <alignment horizontal="center" vertical="center"/>
      <protection locked="0"/>
    </xf>
    <xf numFmtId="0" fontId="10" fillId="0" borderId="14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0" fontId="10" fillId="0" borderId="10" xfId="0" applyNumberFormat="1" applyFont="1" applyBorder="1" applyAlignment="1">
      <alignment horizontal="left" vertical="center"/>
    </xf>
    <xf numFmtId="0" fontId="10" fillId="0" borderId="14" xfId="0" applyNumberFormat="1" applyFont="1" applyBorder="1" applyAlignment="1">
      <alignment horizontal="left" vertical="center" wrapText="1"/>
    </xf>
    <xf numFmtId="0" fontId="10" fillId="0" borderId="0" xfId="0" applyNumberFormat="1" applyFont="1" applyBorder="1" applyAlignment="1">
      <alignment horizontal="left" vertical="center" wrapText="1"/>
    </xf>
    <xf numFmtId="0" fontId="10" fillId="0" borderId="10" xfId="0" applyNumberFormat="1" applyFont="1" applyBorder="1" applyAlignment="1">
      <alignment horizontal="left" vertical="center" wrapText="1"/>
    </xf>
    <xf numFmtId="49" fontId="10" fillId="0" borderId="14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left" vertical="center"/>
    </xf>
    <xf numFmtId="49" fontId="10" fillId="0" borderId="10" xfId="0" applyNumberFormat="1" applyFont="1" applyBorder="1" applyAlignment="1">
      <alignment horizontal="left" vertical="center"/>
    </xf>
    <xf numFmtId="0" fontId="10" fillId="0" borderId="76" xfId="53" applyFont="1" applyBorder="1" applyAlignment="1">
      <alignment horizontal="center" vertical="center"/>
      <protection locked="0"/>
    </xf>
    <xf numFmtId="0" fontId="10" fillId="0" borderId="55" xfId="53" applyFont="1" applyBorder="1" applyAlignment="1">
      <alignment horizontal="center" vertical="center"/>
      <protection locked="0"/>
    </xf>
    <xf numFmtId="171" fontId="10" fillId="0" borderId="62" xfId="55" applyFont="1" applyFill="1" applyBorder="1" applyAlignment="1" applyProtection="1">
      <alignment horizontal="center" vertical="center"/>
      <protection locked="0"/>
    </xf>
    <xf numFmtId="4" fontId="0" fillId="0" borderId="60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0" fontId="6" fillId="0" borderId="67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1" fillId="0" borderId="52" xfId="0" applyFont="1" applyBorder="1" applyAlignment="1">
      <alignment horizontal="right" vertical="center"/>
    </xf>
    <xf numFmtId="0" fontId="10" fillId="0" borderId="45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2" fontId="17" fillId="0" borderId="18" xfId="0" applyNumberFormat="1" applyFont="1" applyFill="1" applyBorder="1" applyAlignment="1" applyProtection="1">
      <alignment horizontal="left" vertical="center" wrapText="1"/>
      <protection locked="0"/>
    </xf>
    <xf numFmtId="0" fontId="15" fillId="0" borderId="0" xfId="0" applyFont="1" applyBorder="1" applyAlignment="1">
      <alignment horizontal="center" vertical="center"/>
    </xf>
    <xf numFmtId="0" fontId="8" fillId="0" borderId="14" xfId="49" applyFont="1" applyBorder="1" applyAlignment="1">
      <alignment horizontal="center" vertical="center" wrapText="1"/>
      <protection/>
    </xf>
    <xf numFmtId="0" fontId="8" fillId="0" borderId="0" xfId="49" applyFont="1" applyBorder="1" applyAlignment="1">
      <alignment horizontal="center" vertical="center" wrapText="1"/>
      <protection/>
    </xf>
    <xf numFmtId="0" fontId="8" fillId="0" borderId="53" xfId="49" applyFont="1" applyBorder="1" applyAlignment="1">
      <alignment horizontal="center" vertical="center" wrapText="1"/>
      <protection/>
    </xf>
    <xf numFmtId="2" fontId="17" fillId="0" borderId="35" xfId="0" applyNumberFormat="1" applyFont="1" applyFill="1" applyBorder="1" applyAlignment="1" applyProtection="1">
      <alignment horizontal="left" vertical="center"/>
      <protection locked="0"/>
    </xf>
    <xf numFmtId="49" fontId="6" fillId="0" borderId="31" xfId="0" applyNumberFormat="1" applyFont="1" applyBorder="1" applyAlignment="1">
      <alignment horizontal="center" vertical="center"/>
    </xf>
    <xf numFmtId="49" fontId="6" fillId="0" borderId="32" xfId="0" applyNumberFormat="1" applyFont="1" applyBorder="1" applyAlignment="1">
      <alignment horizontal="center" vertical="center"/>
    </xf>
    <xf numFmtId="49" fontId="6" fillId="0" borderId="48" xfId="0" applyNumberFormat="1" applyFont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10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3" fontId="6" fillId="0" borderId="11" xfId="0" applyNumberFormat="1" applyFont="1" applyBorder="1" applyAlignment="1">
      <alignment horizontal="left" vertical="center"/>
    </xf>
    <xf numFmtId="0" fontId="6" fillId="0" borderId="12" xfId="0" applyNumberFormat="1" applyFont="1" applyBorder="1" applyAlignment="1">
      <alignment horizontal="left" vertical="center"/>
    </xf>
    <xf numFmtId="3" fontId="6" fillId="0" borderId="0" xfId="0" applyNumberFormat="1" applyFont="1" applyBorder="1" applyAlignment="1">
      <alignment horizontal="left" vertical="center"/>
    </xf>
    <xf numFmtId="0" fontId="6" fillId="0" borderId="10" xfId="0" applyNumberFormat="1" applyFont="1" applyBorder="1" applyAlignment="1">
      <alignment horizontal="left" vertic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5" fillId="0" borderId="48" xfId="0" applyNumberFormat="1" applyFont="1" applyBorder="1" applyAlignment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Fill="1" applyBorder="1" applyAlignment="1" applyProtection="1">
      <alignment horizontal="left" vertical="center"/>
      <protection locked="0"/>
    </xf>
    <xf numFmtId="2" fontId="12" fillId="34" borderId="18" xfId="0" applyNumberFormat="1" applyFont="1" applyFill="1" applyBorder="1" applyAlignment="1" applyProtection="1">
      <alignment horizontal="left" vertical="center"/>
      <protection locked="0"/>
    </xf>
    <xf numFmtId="2" fontId="12" fillId="36" borderId="27" xfId="0" applyNumberFormat="1" applyFont="1" applyFill="1" applyBorder="1" applyAlignment="1" applyProtection="1">
      <alignment horizontal="left" vertical="center"/>
      <protection locked="0"/>
    </xf>
    <xf numFmtId="2" fontId="12" fillId="36" borderId="49" xfId="0" applyNumberFormat="1" applyFont="1" applyFill="1" applyBorder="1" applyAlignment="1" applyProtection="1">
      <alignment horizontal="left" vertical="center"/>
      <protection locked="0"/>
    </xf>
    <xf numFmtId="2" fontId="12" fillId="36" borderId="16" xfId="0" applyNumberFormat="1" applyFont="1" applyFill="1" applyBorder="1" applyAlignment="1" applyProtection="1">
      <alignment horizontal="left" vertical="center"/>
      <protection locked="0"/>
    </xf>
    <xf numFmtId="49" fontId="5" fillId="0" borderId="0" xfId="0" applyNumberFormat="1" applyFont="1" applyBorder="1" applyAlignment="1">
      <alignment horizontal="left" vertical="center"/>
    </xf>
    <xf numFmtId="49" fontId="13" fillId="0" borderId="31" xfId="0" applyNumberFormat="1" applyFont="1" applyBorder="1" applyAlignment="1">
      <alignment horizontal="center" vertical="center"/>
    </xf>
    <xf numFmtId="49" fontId="13" fillId="0" borderId="32" xfId="0" applyNumberFormat="1" applyFont="1" applyBorder="1" applyAlignment="1">
      <alignment horizontal="center" vertical="center"/>
    </xf>
    <xf numFmtId="49" fontId="13" fillId="0" borderId="48" xfId="0" applyNumberFormat="1" applyFont="1" applyBorder="1" applyAlignment="1">
      <alignment horizontal="center" vertical="center"/>
    </xf>
    <xf numFmtId="2" fontId="6" fillId="0" borderId="17" xfId="0" applyNumberFormat="1" applyFont="1" applyFill="1" applyBorder="1" applyAlignment="1" applyProtection="1">
      <alignment horizontal="center" vertical="center"/>
      <protection locked="0"/>
    </xf>
    <xf numFmtId="4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/>
    </xf>
    <xf numFmtId="10" fontId="0" fillId="0" borderId="0" xfId="51" applyNumberFormat="1" applyFont="1" applyBorder="1" applyAlignment="1">
      <alignment horizontal="center" vertical="center" wrapText="1"/>
      <protection/>
    </xf>
    <xf numFmtId="10" fontId="0" fillId="0" borderId="64" xfId="51" applyNumberFormat="1" applyFont="1" applyBorder="1" applyAlignment="1">
      <alignment horizontal="center" vertical="center" wrapText="1"/>
      <protection/>
    </xf>
    <xf numFmtId="0" fontId="6" fillId="0" borderId="27" xfId="0" applyFont="1" applyBorder="1" applyAlignment="1">
      <alignment horizontal="right" vertical="center"/>
    </xf>
    <xf numFmtId="0" fontId="6" fillId="0" borderId="49" xfId="0" applyFont="1" applyBorder="1" applyAlignment="1">
      <alignment horizontal="right" vertical="center"/>
    </xf>
    <xf numFmtId="0" fontId="6" fillId="0" borderId="16" xfId="0" applyFont="1" applyBorder="1" applyAlignment="1">
      <alignment horizontal="right" vertical="center"/>
    </xf>
    <xf numFmtId="0" fontId="6" fillId="0" borderId="61" xfId="0" applyFont="1" applyBorder="1" applyAlignment="1">
      <alignment horizontal="right" vertical="center"/>
    </xf>
    <xf numFmtId="0" fontId="6" fillId="0" borderId="62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6" fillId="0" borderId="52" xfId="0" applyFont="1" applyBorder="1" applyAlignment="1">
      <alignment horizontal="left" vertical="center"/>
    </xf>
    <xf numFmtId="0" fontId="13" fillId="0" borderId="32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11" xfId="0" applyFont="1" applyFill="1" applyBorder="1" applyAlignment="1" applyProtection="1">
      <alignment horizontal="center" vertical="center" wrapText="1"/>
      <protection locked="0"/>
    </xf>
    <xf numFmtId="2" fontId="12" fillId="34" borderId="27" xfId="0" applyNumberFormat="1" applyFont="1" applyFill="1" applyBorder="1" applyAlignment="1" applyProtection="1">
      <alignment horizontal="left" vertical="center"/>
      <protection locked="0"/>
    </xf>
    <xf numFmtId="2" fontId="12" fillId="34" borderId="49" xfId="0" applyNumberFormat="1" applyFont="1" applyFill="1" applyBorder="1" applyAlignment="1" applyProtection="1">
      <alignment horizontal="left" vertical="center"/>
      <protection locked="0"/>
    </xf>
    <xf numFmtId="2" fontId="12" fillId="34" borderId="16" xfId="0" applyNumberFormat="1" applyFont="1" applyFill="1" applyBorder="1" applyAlignment="1" applyProtection="1">
      <alignment horizontal="left" vertical="center"/>
      <protection locked="0"/>
    </xf>
    <xf numFmtId="2" fontId="11" fillId="34" borderId="27" xfId="0" applyNumberFormat="1" applyFont="1" applyFill="1" applyBorder="1" applyAlignment="1" applyProtection="1">
      <alignment horizontal="left" vertical="center" wrapText="1"/>
      <protection locked="0"/>
    </xf>
    <xf numFmtId="2" fontId="11" fillId="34" borderId="49" xfId="0" applyNumberFormat="1" applyFont="1" applyFill="1" applyBorder="1" applyAlignment="1" applyProtection="1">
      <alignment horizontal="left" vertical="center" wrapText="1"/>
      <protection locked="0"/>
    </xf>
    <xf numFmtId="2" fontId="11" fillId="34" borderId="16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8" xfId="0" applyFont="1" applyBorder="1" applyAlignment="1">
      <alignment horizontal="center" vertical="center"/>
    </xf>
    <xf numFmtId="2" fontId="17" fillId="0" borderId="44" xfId="0" applyNumberFormat="1" applyFont="1" applyFill="1" applyBorder="1" applyAlignment="1" applyProtection="1">
      <alignment horizontal="center" vertical="center"/>
      <protection locked="0"/>
    </xf>
    <xf numFmtId="2" fontId="17" fillId="0" borderId="49" xfId="0" applyNumberFormat="1" applyFont="1" applyFill="1" applyBorder="1" applyAlignment="1" applyProtection="1">
      <alignment horizontal="center" vertical="center"/>
      <protection locked="0"/>
    </xf>
    <xf numFmtId="2" fontId="17" fillId="0" borderId="16" xfId="0" applyNumberFormat="1" applyFont="1" applyFill="1" applyBorder="1" applyAlignment="1" applyProtection="1">
      <alignment horizontal="center" vertical="center"/>
      <protection locked="0"/>
    </xf>
    <xf numFmtId="2" fontId="11" fillId="2" borderId="27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49" xfId="0" applyNumberFormat="1" applyFont="1" applyFill="1" applyBorder="1" applyAlignment="1" applyProtection="1">
      <alignment horizontal="left" vertical="center" wrapText="1"/>
      <protection locked="0"/>
    </xf>
    <xf numFmtId="2" fontId="1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49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2" fontId="11" fillId="2" borderId="27" xfId="0" applyNumberFormat="1" applyFont="1" applyFill="1" applyBorder="1" applyAlignment="1" applyProtection="1">
      <alignment horizontal="left" vertical="center"/>
      <protection locked="0"/>
    </xf>
    <xf numFmtId="2" fontId="11" fillId="2" borderId="49" xfId="0" applyNumberFormat="1" applyFont="1" applyFill="1" applyBorder="1" applyAlignment="1" applyProtection="1">
      <alignment horizontal="left" vertical="center"/>
      <protection locked="0"/>
    </xf>
    <xf numFmtId="2" fontId="11" fillId="2" borderId="16" xfId="0" applyNumberFormat="1" applyFont="1" applyFill="1" applyBorder="1" applyAlignment="1" applyProtection="1">
      <alignment horizontal="left" vertical="center"/>
      <protection locked="0"/>
    </xf>
    <xf numFmtId="2" fontId="17" fillId="2" borderId="27" xfId="0" applyNumberFormat="1" applyFont="1" applyFill="1" applyBorder="1" applyAlignment="1" applyProtection="1">
      <alignment horizontal="left" vertical="center" wrapText="1"/>
      <protection locked="0"/>
    </xf>
    <xf numFmtId="2" fontId="17" fillId="2" borderId="49" xfId="0" applyNumberFormat="1" applyFont="1" applyFill="1" applyBorder="1" applyAlignment="1" applyProtection="1">
      <alignment horizontal="left" vertical="center" wrapText="1"/>
      <protection locked="0"/>
    </xf>
    <xf numFmtId="2" fontId="17" fillId="2" borderId="16" xfId="0" applyNumberFormat="1" applyFont="1" applyFill="1" applyBorder="1" applyAlignment="1" applyProtection="1">
      <alignment horizontal="left" vertical="center" wrapText="1"/>
      <protection locked="0"/>
    </xf>
    <xf numFmtId="2" fontId="17" fillId="2" borderId="27" xfId="0" applyNumberFormat="1" applyFont="1" applyFill="1" applyBorder="1" applyAlignment="1" applyProtection="1">
      <alignment horizontal="left" vertical="center"/>
      <protection locked="0"/>
    </xf>
    <xf numFmtId="2" fontId="17" fillId="2" borderId="49" xfId="0" applyNumberFormat="1" applyFont="1" applyFill="1" applyBorder="1" applyAlignment="1" applyProtection="1">
      <alignment horizontal="left" vertical="center"/>
      <protection locked="0"/>
    </xf>
    <xf numFmtId="2" fontId="17" fillId="2" borderId="16" xfId="0" applyNumberFormat="1" applyFont="1" applyFill="1" applyBorder="1" applyAlignment="1" applyProtection="1">
      <alignment horizontal="left" vertical="center"/>
      <protection locked="0"/>
    </xf>
    <xf numFmtId="2" fontId="11" fillId="0" borderId="44" xfId="0" applyNumberFormat="1" applyFont="1" applyFill="1" applyBorder="1" applyAlignment="1" applyProtection="1">
      <alignment horizontal="center" vertical="center"/>
      <protection locked="0"/>
    </xf>
    <xf numFmtId="2" fontId="11" fillId="0" borderId="49" xfId="0" applyNumberFormat="1" applyFont="1" applyFill="1" applyBorder="1" applyAlignment="1" applyProtection="1">
      <alignment horizontal="center" vertical="center"/>
      <protection locked="0"/>
    </xf>
    <xf numFmtId="2" fontId="11" fillId="0" borderId="16" xfId="0" applyNumberFormat="1" applyFont="1" applyFill="1" applyBorder="1" applyAlignment="1" applyProtection="1">
      <alignment horizontal="center" vertical="center"/>
      <protection locked="0"/>
    </xf>
    <xf numFmtId="2" fontId="17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6" fillId="2" borderId="27" xfId="0" applyFont="1" applyFill="1" applyBorder="1" applyAlignment="1">
      <alignment horizontal="left" vertical="center"/>
    </xf>
    <xf numFmtId="0" fontId="6" fillId="2" borderId="49" xfId="0" applyFont="1" applyFill="1" applyBorder="1" applyAlignment="1">
      <alignment horizontal="left" vertical="center"/>
    </xf>
    <xf numFmtId="0" fontId="6" fillId="2" borderId="16" xfId="0" applyFont="1" applyFill="1" applyBorder="1" applyAlignment="1">
      <alignment horizontal="left" vertical="center"/>
    </xf>
    <xf numFmtId="2" fontId="11" fillId="2" borderId="18" xfId="0" applyNumberFormat="1" applyFont="1" applyFill="1" applyBorder="1" applyAlignment="1" applyProtection="1">
      <alignment horizontal="left" vertical="center"/>
      <protection locked="0"/>
    </xf>
    <xf numFmtId="0" fontId="19" fillId="0" borderId="27" xfId="0" applyFont="1" applyBorder="1" applyAlignment="1">
      <alignment horizontal="center" vertical="center"/>
    </xf>
    <xf numFmtId="2" fontId="6" fillId="0" borderId="18" xfId="0" applyNumberFormat="1" applyFont="1" applyFill="1" applyBorder="1" applyAlignment="1" applyProtection="1">
      <alignment horizontal="center" vertical="center"/>
      <protection locked="0"/>
    </xf>
    <xf numFmtId="2" fontId="8" fillId="2" borderId="18" xfId="0" applyNumberFormat="1" applyFont="1" applyFill="1" applyBorder="1" applyAlignment="1" applyProtection="1">
      <alignment horizontal="left" vertical="center"/>
      <protection locked="0"/>
    </xf>
    <xf numFmtId="0" fontId="19" fillId="0" borderId="60" xfId="0" applyFont="1" applyBorder="1" applyAlignment="1">
      <alignment horizontal="center" vertical="center"/>
    </xf>
    <xf numFmtId="2" fontId="8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18" xfId="0" applyFont="1" applyFill="1" applyBorder="1" applyAlignment="1">
      <alignment horizontal="center" vertical="center"/>
    </xf>
    <xf numFmtId="2" fontId="6" fillId="2" borderId="18" xfId="0" applyNumberFormat="1" applyFont="1" applyFill="1" applyBorder="1" applyAlignment="1" applyProtection="1">
      <alignment horizontal="left" vertical="center"/>
      <protection locked="0"/>
    </xf>
    <xf numFmtId="2" fontId="22" fillId="36" borderId="27" xfId="0" applyNumberFormat="1" applyFont="1" applyFill="1" applyBorder="1" applyAlignment="1" applyProtection="1">
      <alignment horizontal="left" vertical="center"/>
      <protection locked="0"/>
    </xf>
    <xf numFmtId="2" fontId="22" fillId="36" borderId="49" xfId="0" applyNumberFormat="1" applyFont="1" applyFill="1" applyBorder="1" applyAlignment="1" applyProtection="1">
      <alignment horizontal="left" vertical="center"/>
      <protection locked="0"/>
    </xf>
    <xf numFmtId="2" fontId="22" fillId="36" borderId="16" xfId="0" applyNumberFormat="1" applyFont="1" applyFill="1" applyBorder="1" applyAlignment="1" applyProtection="1">
      <alignment horizontal="left" vertical="center"/>
      <protection locked="0"/>
    </xf>
    <xf numFmtId="2" fontId="6" fillId="2" borderId="18" xfId="0" applyNumberFormat="1" applyFont="1" applyFill="1" applyBorder="1" applyAlignment="1" applyProtection="1">
      <alignment horizontal="left" vertical="center" wrapText="1"/>
      <protection locked="0"/>
    </xf>
    <xf numFmtId="2" fontId="17" fillId="2" borderId="18" xfId="0" applyNumberFormat="1" applyFont="1" applyFill="1" applyBorder="1" applyAlignment="1" applyProtection="1">
      <alignment horizontal="left" vertical="center"/>
      <protection locked="0"/>
    </xf>
    <xf numFmtId="2" fontId="8" fillId="2" borderId="27" xfId="0" applyNumberFormat="1" applyFont="1" applyFill="1" applyBorder="1" applyAlignment="1" applyProtection="1">
      <alignment horizontal="left" vertical="center" wrapText="1"/>
      <protection locked="0"/>
    </xf>
    <xf numFmtId="2" fontId="8" fillId="2" borderId="49" xfId="0" applyNumberFormat="1" applyFont="1" applyFill="1" applyBorder="1" applyAlignment="1" applyProtection="1">
      <alignment horizontal="left" vertical="center" wrapText="1"/>
      <protection locked="0"/>
    </xf>
    <xf numFmtId="2" fontId="8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9" fillId="0" borderId="27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49" fontId="53" fillId="0" borderId="27" xfId="49" applyNumberFormat="1" applyFont="1" applyBorder="1" applyAlignment="1">
      <alignment horizontal="center" vertical="center"/>
      <protection/>
    </xf>
    <xf numFmtId="49" fontId="53" fillId="0" borderId="49" xfId="49" applyNumberFormat="1" applyFont="1" applyBorder="1" applyAlignment="1">
      <alignment horizontal="center" vertical="center"/>
      <protection/>
    </xf>
    <xf numFmtId="49" fontId="53" fillId="0" borderId="16" xfId="49" applyNumberFormat="1" applyFont="1" applyBorder="1" applyAlignment="1">
      <alignment horizontal="center" vertical="center"/>
      <protection/>
    </xf>
    <xf numFmtId="49" fontId="45" fillId="0" borderId="0" xfId="49" applyNumberFormat="1" applyFont="1" applyBorder="1" applyAlignment="1">
      <alignment horizontal="left" vertical="center"/>
      <protection/>
    </xf>
    <xf numFmtId="2" fontId="44" fillId="0" borderId="27" xfId="49" applyNumberFormat="1" applyFont="1" applyFill="1" applyBorder="1" applyAlignment="1" applyProtection="1">
      <alignment horizontal="center" vertical="center"/>
      <protection locked="0"/>
    </xf>
    <xf numFmtId="2" fontId="44" fillId="0" borderId="49" xfId="49" applyNumberFormat="1" applyFont="1" applyFill="1" applyBorder="1" applyAlignment="1" applyProtection="1">
      <alignment horizontal="center" vertical="center"/>
      <protection locked="0"/>
    </xf>
    <xf numFmtId="2" fontId="44" fillId="0" borderId="16" xfId="49" applyNumberFormat="1" applyFont="1" applyFill="1" applyBorder="1" applyAlignment="1" applyProtection="1">
      <alignment horizontal="center" vertical="center"/>
      <protection locked="0"/>
    </xf>
    <xf numFmtId="2" fontId="5" fillId="36" borderId="18" xfId="0" applyNumberFormat="1" applyFont="1" applyFill="1" applyBorder="1" applyAlignment="1" applyProtection="1">
      <alignment horizontal="left" vertical="center"/>
      <protection locked="0"/>
    </xf>
    <xf numFmtId="2" fontId="50" fillId="36" borderId="18" xfId="49" applyNumberFormat="1" applyFont="1" applyFill="1" applyBorder="1" applyAlignment="1" applyProtection="1">
      <alignment horizontal="left" vertical="center"/>
      <protection locked="0"/>
    </xf>
    <xf numFmtId="2" fontId="50" fillId="36" borderId="16" xfId="49" applyNumberFormat="1" applyFont="1" applyFill="1" applyBorder="1" applyAlignment="1" applyProtection="1">
      <alignment horizontal="left" vertical="center"/>
      <protection locked="0"/>
    </xf>
    <xf numFmtId="2" fontId="50" fillId="36" borderId="27" xfId="49" applyNumberFormat="1" applyFont="1" applyFill="1" applyBorder="1" applyAlignment="1" applyProtection="1">
      <alignment horizontal="left" vertical="center"/>
      <protection locked="0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Moeda 2" xfId="47"/>
    <cellStyle name="Neutra" xfId="48"/>
    <cellStyle name="Normal 2" xfId="49"/>
    <cellStyle name="Normal 2 2" xfId="50"/>
    <cellStyle name="Normal 3" xfId="51"/>
    <cellStyle name="Nota" xfId="52"/>
    <cellStyle name="Percent" xfId="53"/>
    <cellStyle name="Saída" xfId="54"/>
    <cellStyle name="Comma" xfId="55"/>
    <cellStyle name="Comma [0]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192</xdr:row>
      <xdr:rowOff>47625</xdr:rowOff>
    </xdr:from>
    <xdr:to>
      <xdr:col>5</xdr:col>
      <xdr:colOff>428625</xdr:colOff>
      <xdr:row>194</xdr:row>
      <xdr:rowOff>76200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38061900"/>
          <a:ext cx="3371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192</xdr:row>
      <xdr:rowOff>47625</xdr:rowOff>
    </xdr:from>
    <xdr:to>
      <xdr:col>5</xdr:col>
      <xdr:colOff>428625</xdr:colOff>
      <xdr:row>194</xdr:row>
      <xdr:rowOff>76200</xdr:rowOff>
    </xdr:to>
    <xdr:pic>
      <xdr:nvPicPr>
        <xdr:cNvPr id="1" name="Imagem 3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80975" y="38061900"/>
          <a:ext cx="3371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>
    <pageSetUpPr fitToPage="1"/>
  </sheetPr>
  <dimension ref="A1:AJ285"/>
  <sheetViews>
    <sheetView zoomScale="130" zoomScaleNormal="130" zoomScalePageLayoutView="0" workbookViewId="0" topLeftCell="A22">
      <selection activeCell="U32" sqref="U32"/>
    </sheetView>
  </sheetViews>
  <sheetFormatPr defaultColWidth="11.421875" defaultRowHeight="12.75"/>
  <cols>
    <col min="1" max="1" width="6.7109375" style="387" customWidth="1"/>
    <col min="2" max="2" width="12.421875" style="387" bestFit="1" customWidth="1"/>
    <col min="3" max="3" width="9.140625" style="388" customWidth="1"/>
    <col min="4" max="4" width="9.421875" style="388" customWidth="1"/>
    <col min="5" max="7" width="9.140625" style="388" customWidth="1"/>
    <col min="8" max="8" width="8.140625" style="388" customWidth="1"/>
    <col min="9" max="9" width="7.421875" style="388" customWidth="1"/>
    <col min="10" max="10" width="8.7109375" style="389" bestFit="1" customWidth="1"/>
    <col min="11" max="11" width="5.8515625" style="390" bestFit="1" customWidth="1"/>
    <col min="12" max="16" width="7.57421875" style="391" hidden="1" customWidth="1"/>
    <col min="17" max="17" width="7.57421875" style="392" hidden="1" customWidth="1"/>
    <col min="18" max="19" width="7.57421875" style="393" hidden="1" customWidth="1"/>
    <col min="20" max="20" width="9.140625" style="388" customWidth="1"/>
    <col min="21" max="21" width="13.421875" style="388" bestFit="1" customWidth="1"/>
    <col min="22" max="22" width="9.140625" style="388" customWidth="1"/>
    <col min="23" max="23" width="13.28125" style="388" customWidth="1"/>
    <col min="24" max="27" width="13.140625" style="388" customWidth="1"/>
    <col min="28" max="28" width="11.28125" style="403" customWidth="1"/>
    <col min="29" max="29" width="11.7109375" style="403" customWidth="1"/>
    <col min="30" max="31" width="9.140625" style="403" customWidth="1"/>
    <col min="32" max="32" width="9.140625" style="404" customWidth="1"/>
    <col min="33" max="33" width="9.140625" style="388" customWidth="1"/>
    <col min="34" max="34" width="12.7109375" style="404" bestFit="1" customWidth="1"/>
    <col min="35" max="16384" width="11.421875" style="388" customWidth="1"/>
  </cols>
  <sheetData>
    <row r="1" spans="1:27" ht="12.75">
      <c r="A1" s="642"/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4"/>
      <c r="Y1" s="401"/>
      <c r="Z1" s="401"/>
      <c r="AA1" s="401"/>
    </row>
    <row r="2" spans="1:27" ht="12.75">
      <c r="A2" s="645"/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7"/>
      <c r="Y2" s="401"/>
      <c r="Z2" s="401"/>
      <c r="AA2" s="401"/>
    </row>
    <row r="3" spans="1:27" ht="12.75">
      <c r="A3" s="525" t="s">
        <v>42</v>
      </c>
      <c r="B3" s="526"/>
      <c r="C3" s="526"/>
      <c r="D3" s="526"/>
      <c r="E3" s="526"/>
      <c r="F3" s="526"/>
      <c r="G3" s="1"/>
      <c r="H3" s="40"/>
      <c r="I3" s="7"/>
      <c r="J3" s="10"/>
      <c r="K3" s="526" t="s">
        <v>41</v>
      </c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650"/>
      <c r="Y3" s="402"/>
      <c r="Z3" s="402"/>
      <c r="AA3" s="402"/>
    </row>
    <row r="4" spans="1:33" ht="12.75">
      <c r="A4" s="658" t="s">
        <v>73</v>
      </c>
      <c r="B4" s="648"/>
      <c r="C4" s="648"/>
      <c r="D4" s="648"/>
      <c r="E4" s="648"/>
      <c r="F4" s="648"/>
      <c r="G4" s="648"/>
      <c r="H4" s="40"/>
      <c r="I4" s="7"/>
      <c r="J4" s="10"/>
      <c r="K4" s="648" t="s">
        <v>56</v>
      </c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9"/>
      <c r="Y4" s="204"/>
      <c r="Z4" s="204"/>
      <c r="AA4" s="204"/>
      <c r="AF4" s="405"/>
      <c r="AG4" s="406"/>
    </row>
    <row r="5" spans="1:33" ht="13.5" thickBot="1">
      <c r="A5" s="44"/>
      <c r="B5" s="67"/>
      <c r="C5" s="15"/>
      <c r="D5" s="16" t="s">
        <v>13</v>
      </c>
      <c r="E5" s="41" t="s">
        <v>262</v>
      </c>
      <c r="F5" s="17"/>
      <c r="G5" s="16"/>
      <c r="H5" s="41"/>
      <c r="I5" s="18"/>
      <c r="J5" s="19"/>
      <c r="K5" s="20"/>
      <c r="L5" s="21"/>
      <c r="M5" s="21"/>
      <c r="N5" s="21"/>
      <c r="O5" s="21"/>
      <c r="P5" s="22"/>
      <c r="Q5" s="17"/>
      <c r="R5" s="23"/>
      <c r="S5" s="16" t="s">
        <v>21</v>
      </c>
      <c r="T5" s="18"/>
      <c r="U5" s="18"/>
      <c r="V5" s="16" t="s">
        <v>40</v>
      </c>
      <c r="W5" s="651" t="s">
        <v>263</v>
      </c>
      <c r="X5" s="652"/>
      <c r="Y5" s="449"/>
      <c r="Z5" s="449"/>
      <c r="AA5" s="449"/>
      <c r="AF5" s="405"/>
      <c r="AG5" s="406"/>
    </row>
    <row r="6" spans="1:33" ht="4.5" customHeight="1" thickBot="1">
      <c r="A6" s="46"/>
      <c r="B6" s="45"/>
      <c r="C6" s="7"/>
      <c r="D6" s="1"/>
      <c r="E6" s="30"/>
      <c r="F6" s="7"/>
      <c r="G6" s="7"/>
      <c r="H6" s="7"/>
      <c r="I6" s="7"/>
      <c r="J6" s="10"/>
      <c r="K6" s="11"/>
      <c r="L6" s="31"/>
      <c r="M6" s="31"/>
      <c r="N6" s="31"/>
      <c r="O6" s="31"/>
      <c r="P6" s="31"/>
      <c r="Q6" s="32"/>
      <c r="R6" s="33"/>
      <c r="S6" s="34"/>
      <c r="T6" s="7"/>
      <c r="U6" s="7"/>
      <c r="V6" s="35"/>
      <c r="W6" s="12"/>
      <c r="X6" s="62"/>
      <c r="Y6" s="449"/>
      <c r="Z6" s="449"/>
      <c r="AA6" s="449"/>
      <c r="AF6" s="405"/>
      <c r="AG6" s="406"/>
    </row>
    <row r="7" spans="1:33" ht="12.75">
      <c r="A7" s="655" t="s">
        <v>35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450"/>
      <c r="Z7" s="450"/>
      <c r="AA7" s="450"/>
      <c r="AB7" s="63"/>
      <c r="AC7" s="63"/>
      <c r="AD7" s="63"/>
      <c r="AE7" s="63"/>
      <c r="AF7" s="405"/>
      <c r="AG7" s="406"/>
    </row>
    <row r="8" spans="1:33" ht="12.75">
      <c r="A8" s="550" t="s">
        <v>17</v>
      </c>
      <c r="B8" s="551"/>
      <c r="C8" s="551"/>
      <c r="D8" s="551"/>
      <c r="E8" s="2" t="s">
        <v>18</v>
      </c>
      <c r="F8" s="2"/>
      <c r="G8" s="2"/>
      <c r="H8" s="2"/>
      <c r="I8" s="2"/>
      <c r="J8" s="3"/>
      <c r="K8" s="4"/>
      <c r="L8" s="3"/>
      <c r="M8" s="3"/>
      <c r="N8" s="3"/>
      <c r="O8" s="3"/>
      <c r="P8" s="5"/>
      <c r="Q8" s="2"/>
      <c r="R8" s="6"/>
      <c r="S8" s="2"/>
      <c r="T8" s="2"/>
      <c r="U8" s="7"/>
      <c r="V8" s="1" t="s">
        <v>27</v>
      </c>
      <c r="W8" s="2" t="s">
        <v>24</v>
      </c>
      <c r="X8" s="8"/>
      <c r="Y8" s="7"/>
      <c r="Z8" s="7"/>
      <c r="AA8" s="7"/>
      <c r="AB8" s="63"/>
      <c r="AC8" s="63"/>
      <c r="AD8" s="63"/>
      <c r="AE8" s="63"/>
      <c r="AF8" s="405"/>
      <c r="AG8" s="406"/>
    </row>
    <row r="9" spans="1:33" ht="12.75">
      <c r="A9" s="46"/>
      <c r="B9" s="45"/>
      <c r="C9" s="9"/>
      <c r="D9" s="1" t="s">
        <v>19</v>
      </c>
      <c r="E9" s="2" t="s">
        <v>20</v>
      </c>
      <c r="F9" s="2"/>
      <c r="G9" s="2"/>
      <c r="H9" s="7"/>
      <c r="I9" s="7"/>
      <c r="J9" s="10"/>
      <c r="K9" s="11"/>
      <c r="L9" s="3"/>
      <c r="M9" s="3"/>
      <c r="N9" s="3"/>
      <c r="O9" s="3"/>
      <c r="P9" s="5"/>
      <c r="Q9" s="2"/>
      <c r="R9" s="6"/>
      <c r="S9" s="1" t="s">
        <v>21</v>
      </c>
      <c r="T9" s="7"/>
      <c r="U9" s="7"/>
      <c r="V9" s="1" t="s">
        <v>21</v>
      </c>
      <c r="W9" s="653" t="s">
        <v>28</v>
      </c>
      <c r="X9" s="654"/>
      <c r="Y9" s="449"/>
      <c r="Z9" s="449"/>
      <c r="AA9" s="449"/>
      <c r="AB9" s="63"/>
      <c r="AC9" s="63"/>
      <c r="AD9" s="63"/>
      <c r="AE9" s="63"/>
      <c r="AF9" s="405"/>
      <c r="AG9" s="406"/>
    </row>
    <row r="10" spans="1:33" ht="12.75">
      <c r="A10" s="46"/>
      <c r="B10" s="45"/>
      <c r="C10" s="13"/>
      <c r="D10" s="14" t="s">
        <v>22</v>
      </c>
      <c r="E10" s="2" t="s">
        <v>23</v>
      </c>
      <c r="F10" s="2"/>
      <c r="G10" s="2"/>
      <c r="H10" s="2"/>
      <c r="I10" s="2"/>
      <c r="J10" s="3"/>
      <c r="K10" s="4"/>
      <c r="L10" s="3"/>
      <c r="M10" s="3"/>
      <c r="N10" s="3"/>
      <c r="O10" s="3"/>
      <c r="P10" s="5"/>
      <c r="Q10" s="2"/>
      <c r="R10" s="6"/>
      <c r="S10" s="2"/>
      <c r="T10" s="2"/>
      <c r="U10" s="2"/>
      <c r="V10" s="2"/>
      <c r="W10" s="7"/>
      <c r="X10" s="8"/>
      <c r="Y10" s="7"/>
      <c r="Z10" s="7"/>
      <c r="AA10" s="7"/>
      <c r="AB10" s="63"/>
      <c r="AC10" s="63"/>
      <c r="AD10" s="63"/>
      <c r="AE10" s="63"/>
      <c r="AF10" s="405"/>
      <c r="AG10" s="406"/>
    </row>
    <row r="11" spans="1:33" ht="12.75">
      <c r="A11" s="46"/>
      <c r="B11" s="45"/>
      <c r="C11" s="13"/>
      <c r="D11" s="14"/>
      <c r="E11" s="2" t="s">
        <v>25</v>
      </c>
      <c r="F11" s="2"/>
      <c r="G11" s="2"/>
      <c r="H11" s="2"/>
      <c r="I11" s="2"/>
      <c r="J11" s="3"/>
      <c r="K11" s="4"/>
      <c r="L11" s="3"/>
      <c r="M11" s="3"/>
      <c r="N11" s="3"/>
      <c r="O11" s="3"/>
      <c r="P11" s="5"/>
      <c r="Q11" s="2"/>
      <c r="R11" s="6"/>
      <c r="S11" s="2"/>
      <c r="T11" s="2"/>
      <c r="U11" s="2"/>
      <c r="V11" s="2"/>
      <c r="W11" s="7"/>
      <c r="X11" s="8"/>
      <c r="Y11" s="7"/>
      <c r="Z11" s="7"/>
      <c r="AA11" s="7"/>
      <c r="AB11" s="63"/>
      <c r="AC11" s="63"/>
      <c r="AD11" s="63"/>
      <c r="AE11" s="63"/>
      <c r="AF11" s="405"/>
      <c r="AG11" s="406"/>
    </row>
    <row r="12" spans="1:33" ht="13.5" thickBot="1">
      <c r="A12" s="44"/>
      <c r="B12" s="67"/>
      <c r="C12" s="15"/>
      <c r="D12" s="16" t="s">
        <v>26</v>
      </c>
      <c r="E12" s="17" t="s">
        <v>96</v>
      </c>
      <c r="F12" s="17"/>
      <c r="G12" s="17"/>
      <c r="H12" s="18"/>
      <c r="I12" s="18"/>
      <c r="J12" s="19"/>
      <c r="K12" s="20"/>
      <c r="L12" s="21"/>
      <c r="M12" s="21"/>
      <c r="N12" s="21"/>
      <c r="O12" s="21"/>
      <c r="P12" s="22"/>
      <c r="Q12" s="17"/>
      <c r="R12" s="23"/>
      <c r="S12" s="16" t="s">
        <v>21</v>
      </c>
      <c r="T12" s="18"/>
      <c r="U12" s="18"/>
      <c r="V12" s="16" t="s">
        <v>97</v>
      </c>
      <c r="W12" s="651" t="s">
        <v>95</v>
      </c>
      <c r="X12" s="652"/>
      <c r="Y12" s="449"/>
      <c r="Z12" s="449"/>
      <c r="AA12" s="449"/>
      <c r="AB12" s="63"/>
      <c r="AC12" s="63"/>
      <c r="AD12" s="63"/>
      <c r="AE12" s="63"/>
      <c r="AF12" s="405"/>
      <c r="AG12" s="406"/>
    </row>
    <row r="13" spans="1:33" ht="4.5" customHeight="1" thickBot="1">
      <c r="A13" s="46"/>
      <c r="B13" s="45"/>
      <c r="C13" s="7"/>
      <c r="D13" s="1"/>
      <c r="E13" s="30"/>
      <c r="F13" s="7"/>
      <c r="G13" s="7"/>
      <c r="H13" s="7"/>
      <c r="I13" s="7"/>
      <c r="J13" s="10"/>
      <c r="K13" s="11"/>
      <c r="L13" s="31"/>
      <c r="M13" s="31"/>
      <c r="N13" s="31"/>
      <c r="O13" s="31"/>
      <c r="P13" s="31"/>
      <c r="Q13" s="32"/>
      <c r="R13" s="33"/>
      <c r="S13" s="34"/>
      <c r="T13" s="7"/>
      <c r="U13" s="7"/>
      <c r="V13" s="35"/>
      <c r="W13" s="12"/>
      <c r="X13" s="62"/>
      <c r="Y13" s="449"/>
      <c r="Z13" s="449"/>
      <c r="AA13" s="449"/>
      <c r="AB13" s="63"/>
      <c r="AC13" s="63"/>
      <c r="AD13" s="63"/>
      <c r="AE13" s="63"/>
      <c r="AF13" s="405"/>
      <c r="AG13" s="406"/>
    </row>
    <row r="14" spans="1:33" ht="12.75">
      <c r="A14" s="655" t="s">
        <v>36</v>
      </c>
      <c r="B14" s="656"/>
      <c r="C14" s="656"/>
      <c r="D14" s="656"/>
      <c r="E14" s="656"/>
      <c r="F14" s="656"/>
      <c r="G14" s="656"/>
      <c r="H14" s="656"/>
      <c r="I14" s="656"/>
      <c r="J14" s="656"/>
      <c r="K14" s="656"/>
      <c r="L14" s="656"/>
      <c r="M14" s="656"/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7"/>
      <c r="Y14" s="450"/>
      <c r="Z14" s="450"/>
      <c r="AA14" s="450"/>
      <c r="AB14" s="63"/>
      <c r="AC14" s="63"/>
      <c r="AD14" s="63"/>
      <c r="AE14" s="63"/>
      <c r="AF14" s="405"/>
      <c r="AG14" s="406"/>
    </row>
    <row r="15" spans="1:33" ht="13.5" thickBot="1">
      <c r="A15" s="44"/>
      <c r="B15" s="67"/>
      <c r="C15" s="18"/>
      <c r="D15" s="16" t="s">
        <v>34</v>
      </c>
      <c r="E15" s="24" t="s">
        <v>267</v>
      </c>
      <c r="F15" s="18"/>
      <c r="G15" s="18"/>
      <c r="H15" s="18"/>
      <c r="I15" s="18"/>
      <c r="J15" s="19"/>
      <c r="K15" s="20"/>
      <c r="L15" s="25"/>
      <c r="M15" s="25"/>
      <c r="N15" s="25"/>
      <c r="O15" s="25"/>
      <c r="P15" s="25"/>
      <c r="Q15" s="26"/>
      <c r="R15" s="27" t="s">
        <v>16</v>
      </c>
      <c r="S15" s="28">
        <v>1</v>
      </c>
      <c r="T15" s="18"/>
      <c r="U15" s="18"/>
      <c r="V15" s="29"/>
      <c r="W15" s="42"/>
      <c r="X15" s="43"/>
      <c r="Y15" s="451"/>
      <c r="Z15" s="451"/>
      <c r="AA15" s="451"/>
      <c r="AB15" s="63"/>
      <c r="AC15" s="63"/>
      <c r="AD15" s="63"/>
      <c r="AE15" s="63"/>
      <c r="AF15" s="405"/>
      <c r="AG15" s="406"/>
    </row>
    <row r="16" spans="1:33" ht="4.5" customHeight="1" thickBot="1">
      <c r="A16" s="46"/>
      <c r="B16" s="45"/>
      <c r="C16" s="7"/>
      <c r="D16" s="1"/>
      <c r="E16" s="30"/>
      <c r="F16" s="7"/>
      <c r="G16" s="7"/>
      <c r="H16" s="7"/>
      <c r="I16" s="7"/>
      <c r="J16" s="10"/>
      <c r="K16" s="11"/>
      <c r="L16" s="31"/>
      <c r="M16" s="31"/>
      <c r="N16" s="31"/>
      <c r="O16" s="31"/>
      <c r="P16" s="31"/>
      <c r="Q16" s="32"/>
      <c r="R16" s="33"/>
      <c r="S16" s="34"/>
      <c r="T16" s="7"/>
      <c r="U16" s="7"/>
      <c r="V16" s="35"/>
      <c r="W16" s="12"/>
      <c r="X16" s="62"/>
      <c r="Y16" s="449"/>
      <c r="Z16" s="449"/>
      <c r="AA16" s="449"/>
      <c r="AB16" s="63"/>
      <c r="AC16" s="63"/>
      <c r="AD16" s="63"/>
      <c r="AE16" s="63"/>
      <c r="AF16" s="405"/>
      <c r="AG16" s="406"/>
    </row>
    <row r="17" spans="1:33" ht="12.75">
      <c r="A17" s="655" t="s">
        <v>37</v>
      </c>
      <c r="B17" s="656"/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656"/>
      <c r="X17" s="657"/>
      <c r="Y17" s="450"/>
      <c r="Z17" s="450"/>
      <c r="AA17" s="450"/>
      <c r="AB17" s="63"/>
      <c r="AC17" s="63"/>
      <c r="AD17" s="63"/>
      <c r="AE17" s="63"/>
      <c r="AF17" s="405"/>
      <c r="AG17" s="406"/>
    </row>
    <row r="18" spans="1:33" ht="12.75">
      <c r="A18" s="46"/>
      <c r="B18" s="45"/>
      <c r="C18" s="7"/>
      <c r="D18" s="1" t="s">
        <v>33</v>
      </c>
      <c r="E18" s="661" t="s">
        <v>394</v>
      </c>
      <c r="F18" s="661"/>
      <c r="G18" s="661"/>
      <c r="H18" s="9"/>
      <c r="I18" s="30"/>
      <c r="J18" s="10"/>
      <c r="K18" s="11"/>
      <c r="L18" s="31"/>
      <c r="M18" s="257"/>
      <c r="N18" s="31"/>
      <c r="O18" s="31"/>
      <c r="P18" s="257"/>
      <c r="Q18" s="32"/>
      <c r="R18" s="34"/>
      <c r="S18" s="34"/>
      <c r="T18" s="659" t="s">
        <v>72</v>
      </c>
      <c r="U18" s="659"/>
      <c r="V18" s="659"/>
      <c r="W18" s="2" t="s">
        <v>266</v>
      </c>
      <c r="X18" s="8"/>
      <c r="Y18" s="7"/>
      <c r="Z18" s="7"/>
      <c r="AA18" s="7"/>
      <c r="AB18" s="63"/>
      <c r="AC18" s="63"/>
      <c r="AD18" s="63"/>
      <c r="AE18" s="63"/>
      <c r="AF18" s="405"/>
      <c r="AG18" s="406"/>
    </row>
    <row r="19" spans="1:33" ht="12.75">
      <c r="A19" s="46"/>
      <c r="B19" s="45"/>
      <c r="C19" s="9"/>
      <c r="D19" s="1" t="s">
        <v>29</v>
      </c>
      <c r="E19" s="660" t="s">
        <v>264</v>
      </c>
      <c r="F19" s="660"/>
      <c r="G19" s="2"/>
      <c r="H19" s="7"/>
      <c r="I19" s="7"/>
      <c r="J19" s="10"/>
      <c r="K19" s="11"/>
      <c r="L19" s="3"/>
      <c r="M19" s="3"/>
      <c r="N19" s="3"/>
      <c r="O19" s="3"/>
      <c r="P19" s="5"/>
      <c r="Q19" s="2"/>
      <c r="R19" s="6"/>
      <c r="S19" s="1" t="s">
        <v>21</v>
      </c>
      <c r="T19" s="659" t="s">
        <v>30</v>
      </c>
      <c r="U19" s="659"/>
      <c r="V19" s="659"/>
      <c r="W19" s="653" t="s">
        <v>31</v>
      </c>
      <c r="X19" s="654"/>
      <c r="Y19" s="449"/>
      <c r="Z19" s="449"/>
      <c r="AA19" s="449"/>
      <c r="AB19" s="63"/>
      <c r="AC19" s="63"/>
      <c r="AD19" s="63"/>
      <c r="AE19" s="63"/>
      <c r="AF19" s="405"/>
      <c r="AG19" s="406"/>
    </row>
    <row r="20" spans="1:33" ht="12.75">
      <c r="A20" s="46"/>
      <c r="B20" s="45"/>
      <c r="C20" s="13"/>
      <c r="D20" s="14" t="s">
        <v>32</v>
      </c>
      <c r="E20" s="660" t="s">
        <v>265</v>
      </c>
      <c r="F20" s="660"/>
      <c r="G20" s="660"/>
      <c r="H20" s="660"/>
      <c r="I20" s="660"/>
      <c r="J20" s="660"/>
      <c r="K20" s="660"/>
      <c r="L20" s="660"/>
      <c r="M20" s="660"/>
      <c r="N20" s="660"/>
      <c r="O20" s="660"/>
      <c r="P20" s="660"/>
      <c r="Q20" s="660"/>
      <c r="R20" s="660"/>
      <c r="S20" s="660"/>
      <c r="T20" s="660"/>
      <c r="U20" s="2"/>
      <c r="V20" s="2"/>
      <c r="W20" s="7"/>
      <c r="X20" s="8"/>
      <c r="Y20" s="7"/>
      <c r="Z20" s="7"/>
      <c r="AA20" s="7"/>
      <c r="AB20" s="63"/>
      <c r="AC20" s="63"/>
      <c r="AD20" s="63"/>
      <c r="AE20" s="63"/>
      <c r="AF20" s="405"/>
      <c r="AG20" s="406"/>
    </row>
    <row r="21" spans="1:33" ht="13.5" thickBot="1">
      <c r="A21" s="44"/>
      <c r="B21" s="67"/>
      <c r="C21" s="36"/>
      <c r="D21" s="37"/>
      <c r="E21" s="24"/>
      <c r="F21" s="17"/>
      <c r="G21" s="17"/>
      <c r="H21" s="17"/>
      <c r="I21" s="17"/>
      <c r="J21" s="21"/>
      <c r="K21" s="38"/>
      <c r="L21" s="21"/>
      <c r="M21" s="21"/>
      <c r="N21" s="21"/>
      <c r="O21" s="21"/>
      <c r="P21" s="22"/>
      <c r="Q21" s="17"/>
      <c r="R21" s="23"/>
      <c r="S21" s="17"/>
      <c r="T21" s="17"/>
      <c r="U21" s="17"/>
      <c r="V21" s="17"/>
      <c r="W21" s="18"/>
      <c r="X21" s="39"/>
      <c r="Y21" s="7"/>
      <c r="Z21" s="7"/>
      <c r="AA21" s="7"/>
      <c r="AB21" s="63"/>
      <c r="AC21" s="63"/>
      <c r="AD21" s="63"/>
      <c r="AE21" s="63"/>
      <c r="AF21" s="405"/>
      <c r="AG21" s="406"/>
    </row>
    <row r="22" spans="1:33" ht="4.5" customHeight="1" thickBot="1">
      <c r="A22" s="46"/>
      <c r="B22" s="45"/>
      <c r="C22" s="7"/>
      <c r="D22" s="1"/>
      <c r="E22" s="30"/>
      <c r="F22" s="7"/>
      <c r="G22" s="7"/>
      <c r="H22" s="7"/>
      <c r="I22" s="7"/>
      <c r="J22" s="10"/>
      <c r="K22" s="11"/>
      <c r="L22" s="31"/>
      <c r="M22" s="31"/>
      <c r="N22" s="31"/>
      <c r="O22" s="31"/>
      <c r="P22" s="31"/>
      <c r="Q22" s="32"/>
      <c r="R22" s="33"/>
      <c r="S22" s="34"/>
      <c r="T22" s="7"/>
      <c r="U22" s="7"/>
      <c r="V22" s="35"/>
      <c r="W22" s="12"/>
      <c r="X22" s="62"/>
      <c r="Y22" s="449"/>
      <c r="Z22" s="449"/>
      <c r="AA22" s="449"/>
      <c r="AB22" s="63"/>
      <c r="AC22" s="63"/>
      <c r="AD22" s="63"/>
      <c r="AE22" s="63"/>
      <c r="AF22" s="405"/>
      <c r="AG22" s="406"/>
    </row>
    <row r="23" spans="1:33" ht="12.75">
      <c r="A23" s="667" t="s">
        <v>301</v>
      </c>
      <c r="B23" s="668"/>
      <c r="C23" s="668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9"/>
      <c r="Y23" s="452"/>
      <c r="Z23" s="452"/>
      <c r="AA23" s="452"/>
      <c r="AB23" s="63"/>
      <c r="AC23" s="63"/>
      <c r="AD23" s="63"/>
      <c r="AE23" s="63"/>
      <c r="AF23" s="405"/>
      <c r="AG23" s="406"/>
    </row>
    <row r="24" spans="1:33" ht="12.75">
      <c r="A24" s="46"/>
      <c r="B24" s="45"/>
      <c r="C24" s="13"/>
      <c r="D24" s="14" t="s">
        <v>78</v>
      </c>
      <c r="E24" s="258">
        <f>$J$202</f>
        <v>0.21807351778769757</v>
      </c>
      <c r="F24" s="259" t="s">
        <v>465</v>
      </c>
      <c r="G24" s="260"/>
      <c r="H24" s="260"/>
      <c r="I24" s="14"/>
      <c r="J24" s="261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7"/>
      <c r="V24" s="14" t="s">
        <v>38</v>
      </c>
      <c r="W24" s="2" t="s">
        <v>39</v>
      </c>
      <c r="X24" s="8"/>
      <c r="Y24" s="7"/>
      <c r="Z24" s="7"/>
      <c r="AA24" s="7"/>
      <c r="AB24" s="63"/>
      <c r="AC24" s="63"/>
      <c r="AD24" s="63"/>
      <c r="AE24" s="63"/>
      <c r="AF24" s="405"/>
      <c r="AG24" s="406"/>
    </row>
    <row r="25" spans="1:33" ht="18">
      <c r="A25" s="91" t="s">
        <v>60</v>
      </c>
      <c r="B25" s="92" t="s">
        <v>104</v>
      </c>
      <c r="C25" s="670" t="s">
        <v>59</v>
      </c>
      <c r="D25" s="670"/>
      <c r="E25" s="670"/>
      <c r="F25" s="670"/>
      <c r="G25" s="670"/>
      <c r="H25" s="670"/>
      <c r="I25" s="670"/>
      <c r="J25" s="69" t="s">
        <v>1</v>
      </c>
      <c r="K25" s="69" t="s">
        <v>2</v>
      </c>
      <c r="L25" s="93" t="s">
        <v>6</v>
      </c>
      <c r="M25" s="93" t="s">
        <v>4</v>
      </c>
      <c r="N25" s="93" t="s">
        <v>7</v>
      </c>
      <c r="O25" s="93" t="s">
        <v>5</v>
      </c>
      <c r="P25" s="94" t="s">
        <v>3</v>
      </c>
      <c r="Q25" s="93" t="s">
        <v>14</v>
      </c>
      <c r="R25" s="95" t="s">
        <v>15</v>
      </c>
      <c r="S25" s="95" t="s">
        <v>15</v>
      </c>
      <c r="T25" s="96" t="s">
        <v>6</v>
      </c>
      <c r="U25" s="96" t="s">
        <v>4</v>
      </c>
      <c r="V25" s="96" t="s">
        <v>7</v>
      </c>
      <c r="W25" s="96" t="s">
        <v>5</v>
      </c>
      <c r="X25" s="97" t="s">
        <v>3</v>
      </c>
      <c r="Y25" s="453" t="s">
        <v>574</v>
      </c>
      <c r="Z25" s="453" t="s">
        <v>575</v>
      </c>
      <c r="AA25" s="64" t="s">
        <v>576</v>
      </c>
      <c r="AB25" s="64" t="s">
        <v>573</v>
      </c>
      <c r="AC25" s="64"/>
      <c r="AD25" s="64"/>
      <c r="AE25" s="64"/>
      <c r="AF25" s="47"/>
      <c r="AG25" s="47"/>
    </row>
    <row r="26" spans="1:34" s="407" customFormat="1" ht="12.75">
      <c r="A26" s="98" t="s">
        <v>57</v>
      </c>
      <c r="B26" s="663" t="s">
        <v>125</v>
      </c>
      <c r="C26" s="664"/>
      <c r="D26" s="664"/>
      <c r="E26" s="664"/>
      <c r="F26" s="664"/>
      <c r="G26" s="664"/>
      <c r="H26" s="664"/>
      <c r="I26" s="665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432"/>
      <c r="U26" s="433">
        <f>SUM(U27:U28)</f>
        <v>678.8779999999999</v>
      </c>
      <c r="V26" s="432"/>
      <c r="W26" s="433">
        <f>SUM(W27:W28)</f>
        <v>1640.6190000000001</v>
      </c>
      <c r="X26" s="434">
        <f>U26+W26</f>
        <v>2319.4970000000003</v>
      </c>
      <c r="Y26" s="454"/>
      <c r="Z26" s="454"/>
      <c r="AA26" s="115"/>
      <c r="AB26" s="115"/>
      <c r="AC26" s="207" t="s">
        <v>395</v>
      </c>
      <c r="AD26" s="115"/>
      <c r="AE26" s="207" t="s">
        <v>396</v>
      </c>
      <c r="AF26" s="114"/>
      <c r="AG26" s="205" t="s">
        <v>486</v>
      </c>
      <c r="AH26" s="209" t="s">
        <v>492</v>
      </c>
    </row>
    <row r="27" spans="1:34" s="406" customFormat="1" ht="12.75">
      <c r="A27" s="100" t="s">
        <v>58</v>
      </c>
      <c r="B27" s="101" t="s">
        <v>127</v>
      </c>
      <c r="C27" s="588" t="s">
        <v>126</v>
      </c>
      <c r="D27" s="588"/>
      <c r="E27" s="588"/>
      <c r="F27" s="588"/>
      <c r="G27" s="588"/>
      <c r="H27" s="588"/>
      <c r="I27" s="588"/>
      <c r="J27" s="69">
        <v>0</v>
      </c>
      <c r="K27" s="69" t="s">
        <v>63</v>
      </c>
      <c r="L27" s="90"/>
      <c r="M27" s="90"/>
      <c r="N27" s="90"/>
      <c r="O27" s="90"/>
      <c r="P27" s="103"/>
      <c r="Q27" s="90"/>
      <c r="R27" s="90"/>
      <c r="S27" s="90"/>
      <c r="T27" s="435">
        <v>262.096</v>
      </c>
      <c r="U27" s="435">
        <f>J27*T27</f>
        <v>0</v>
      </c>
      <c r="V27" s="435">
        <v>33.676</v>
      </c>
      <c r="W27" s="435">
        <f>(V27*J27)</f>
        <v>0</v>
      </c>
      <c r="X27" s="436">
        <f>ROUND(U27+W27,2)</f>
        <v>0</v>
      </c>
      <c r="Y27" s="455">
        <v>739.43</v>
      </c>
      <c r="Z27" s="455">
        <v>739.43</v>
      </c>
      <c r="AA27" s="64">
        <f>IF((Y27=Z27),0,(Y27-Z27))</f>
        <v>0</v>
      </c>
      <c r="AB27" s="64" t="str">
        <f>IF((X27=AA27),"OK",(X27-AA27))</f>
        <v>OK</v>
      </c>
      <c r="AC27" s="74">
        <v>269.3</v>
      </c>
      <c r="AD27" s="64"/>
      <c r="AE27" s="74">
        <v>34.6</v>
      </c>
      <c r="AF27" s="79"/>
      <c r="AG27" s="206">
        <f>AE27+AC27</f>
        <v>303.90000000000003</v>
      </c>
      <c r="AH27" s="210">
        <v>303.9</v>
      </c>
    </row>
    <row r="28" spans="1:34" s="406" customFormat="1" ht="12.75" customHeight="1">
      <c r="A28" s="100" t="s">
        <v>398</v>
      </c>
      <c r="B28" s="101" t="s">
        <v>128</v>
      </c>
      <c r="C28" s="580" t="s">
        <v>129</v>
      </c>
      <c r="D28" s="580"/>
      <c r="E28" s="580"/>
      <c r="F28" s="580"/>
      <c r="G28" s="580"/>
      <c r="H28" s="580"/>
      <c r="I28" s="580"/>
      <c r="J28" s="69">
        <f>8330-1249.5</f>
        <v>7080.5</v>
      </c>
      <c r="K28" s="69" t="s">
        <v>63</v>
      </c>
      <c r="L28" s="90"/>
      <c r="M28" s="90"/>
      <c r="N28" s="90"/>
      <c r="O28" s="90"/>
      <c r="P28" s="103"/>
      <c r="Q28" s="90"/>
      <c r="R28" s="90"/>
      <c r="S28" s="90"/>
      <c r="T28" s="435">
        <v>0.09587995198079231</v>
      </c>
      <c r="U28" s="435">
        <f>J28*T28</f>
        <v>678.8779999999999</v>
      </c>
      <c r="V28" s="435">
        <v>0.2317094837935174</v>
      </c>
      <c r="W28" s="435">
        <f>(V28*J28)</f>
        <v>1640.6190000000001</v>
      </c>
      <c r="X28" s="436">
        <f>ROUND(U28+W28,2)</f>
        <v>2319.5</v>
      </c>
      <c r="Y28" s="455">
        <v>2728.82</v>
      </c>
      <c r="Z28" s="455">
        <v>409.32</v>
      </c>
      <c r="AA28" s="64">
        <f>IF((Y28=Z28),0,(Y28-Z28))</f>
        <v>2319.5</v>
      </c>
      <c r="AB28" s="64" t="str">
        <f>IF((X28=AA28),"OK",(X28-AA28))</f>
        <v>OK</v>
      </c>
      <c r="AC28" s="74">
        <v>0.1</v>
      </c>
      <c r="AD28" s="64"/>
      <c r="AE28" s="74">
        <v>0.24</v>
      </c>
      <c r="AF28" s="79"/>
      <c r="AG28" s="206">
        <f aca="true" t="shared" si="0" ref="AG28:AG105">AE28+AC28</f>
        <v>0.33999999999999997</v>
      </c>
      <c r="AH28" s="210">
        <v>0.34</v>
      </c>
    </row>
    <row r="29" spans="1:34" s="407" customFormat="1" ht="12.75">
      <c r="A29" s="98" t="s">
        <v>61</v>
      </c>
      <c r="B29" s="575" t="s">
        <v>102</v>
      </c>
      <c r="C29" s="575"/>
      <c r="D29" s="575"/>
      <c r="E29" s="575"/>
      <c r="F29" s="575"/>
      <c r="G29" s="575"/>
      <c r="H29" s="575"/>
      <c r="I29" s="575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437"/>
      <c r="U29" s="433">
        <f>U30+U34</f>
        <v>48099.26920586036</v>
      </c>
      <c r="V29" s="437"/>
      <c r="W29" s="433">
        <f>W30+W34</f>
        <v>11871.186161295836</v>
      </c>
      <c r="X29" s="434">
        <f aca="true" t="shared" si="1" ref="X29:X34">U29+W29</f>
        <v>59970.455367156195</v>
      </c>
      <c r="Y29" s="454"/>
      <c r="Z29" s="454"/>
      <c r="AA29" s="454"/>
      <c r="AB29" s="408"/>
      <c r="AC29" s="207" t="s">
        <v>395</v>
      </c>
      <c r="AD29" s="115"/>
      <c r="AE29" s="207" t="s">
        <v>396</v>
      </c>
      <c r="AF29" s="114"/>
      <c r="AG29" s="205" t="s">
        <v>486</v>
      </c>
      <c r="AH29" s="209" t="s">
        <v>492</v>
      </c>
    </row>
    <row r="30" spans="1:34" s="410" customFormat="1" ht="12.75">
      <c r="A30" s="104" t="s">
        <v>62</v>
      </c>
      <c r="B30" s="662" t="s">
        <v>107</v>
      </c>
      <c r="C30" s="662"/>
      <c r="D30" s="662"/>
      <c r="E30" s="662"/>
      <c r="F30" s="662"/>
      <c r="G30" s="662"/>
      <c r="H30" s="662"/>
      <c r="I30" s="662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438"/>
      <c r="U30" s="439">
        <f>SUM(U31:U33)</f>
        <v>45147.299205860356</v>
      </c>
      <c r="V30" s="438"/>
      <c r="W30" s="439">
        <f>SUM(W31:W33)</f>
        <v>10440.256161295836</v>
      </c>
      <c r="X30" s="440">
        <f t="shared" si="1"/>
        <v>55587.555367156194</v>
      </c>
      <c r="Y30" s="456"/>
      <c r="Z30" s="456"/>
      <c r="AA30" s="456"/>
      <c r="AB30" s="409"/>
      <c r="AC30" s="78"/>
      <c r="AD30" s="409"/>
      <c r="AE30" s="78"/>
      <c r="AF30" s="116"/>
      <c r="AG30" s="206"/>
      <c r="AH30" s="213"/>
    </row>
    <row r="31" spans="1:34" s="406" customFormat="1" ht="12.75">
      <c r="A31" s="106" t="s">
        <v>116</v>
      </c>
      <c r="B31" s="107" t="s">
        <v>214</v>
      </c>
      <c r="C31" s="568" t="s">
        <v>106</v>
      </c>
      <c r="D31" s="568"/>
      <c r="E31" s="568"/>
      <c r="F31" s="568"/>
      <c r="G31" s="568"/>
      <c r="H31" s="568"/>
      <c r="I31" s="568"/>
      <c r="J31" s="69">
        <f>1120.19+380.82-363.09</f>
        <v>1137.92</v>
      </c>
      <c r="K31" s="76" t="s">
        <v>63</v>
      </c>
      <c r="L31" s="70"/>
      <c r="M31" s="70"/>
      <c r="N31" s="70"/>
      <c r="O31" s="70"/>
      <c r="P31" s="70"/>
      <c r="Q31" s="70"/>
      <c r="R31" s="70"/>
      <c r="S31" s="70"/>
      <c r="T31" s="435">
        <v>0.894877449184216</v>
      </c>
      <c r="U31" s="435">
        <f>J31*T31</f>
        <v>1018.2989469757031</v>
      </c>
      <c r="V31" s="435">
        <v>0.2956276107421003</v>
      </c>
      <c r="W31" s="435">
        <f>(V31*J31)</f>
        <v>336.4005708156508</v>
      </c>
      <c r="X31" s="436">
        <f>ROUND(U31+W31,2)</f>
        <v>1354.7</v>
      </c>
      <c r="Y31" s="455">
        <v>1786.97</v>
      </c>
      <c r="Z31" s="455">
        <v>432.27</v>
      </c>
      <c r="AA31" s="64">
        <f>IF((Y31=Z31),0,(Y31-Z31))</f>
        <v>1354.7</v>
      </c>
      <c r="AB31" s="64" t="str">
        <f>IF((X31=AA31),"OK",(X31-AA31))</f>
        <v>OK</v>
      </c>
      <c r="AC31" s="72">
        <f>0.57+0.35</f>
        <v>0.9199999999999999</v>
      </c>
      <c r="AD31" s="63"/>
      <c r="AE31" s="72">
        <v>0.3</v>
      </c>
      <c r="AF31" s="79"/>
      <c r="AG31" s="206">
        <f t="shared" si="0"/>
        <v>1.22</v>
      </c>
      <c r="AH31" s="214">
        <v>1.22</v>
      </c>
    </row>
    <row r="32" spans="1:34" s="66" customFormat="1" ht="19.5" customHeight="1">
      <c r="A32" s="106" t="s">
        <v>117</v>
      </c>
      <c r="B32" s="107" t="s">
        <v>105</v>
      </c>
      <c r="C32" s="568" t="s">
        <v>103</v>
      </c>
      <c r="D32" s="568"/>
      <c r="E32" s="568"/>
      <c r="F32" s="568"/>
      <c r="G32" s="568"/>
      <c r="H32" s="568"/>
      <c r="I32" s="568"/>
      <c r="J32" s="69">
        <f>1120.19-363.17</f>
        <v>757.02</v>
      </c>
      <c r="K32" s="76" t="s">
        <v>63</v>
      </c>
      <c r="L32" s="70"/>
      <c r="M32" s="70"/>
      <c r="N32" s="70"/>
      <c r="O32" s="70"/>
      <c r="P32" s="70"/>
      <c r="Q32" s="70"/>
      <c r="R32" s="70"/>
      <c r="S32" s="70"/>
      <c r="T32" s="435">
        <v>37.54500575795178</v>
      </c>
      <c r="U32" s="435">
        <f>J32*T32</f>
        <v>28422.320258884654</v>
      </c>
      <c r="V32" s="435">
        <v>8.804979512404145</v>
      </c>
      <c r="W32" s="435">
        <f>(V32*J32)</f>
        <v>6665.545590480186</v>
      </c>
      <c r="X32" s="436">
        <f>ROUND(U32+W32,2)</f>
        <v>35087.87</v>
      </c>
      <c r="Y32" s="455">
        <v>51920.8</v>
      </c>
      <c r="Z32" s="455">
        <v>16832.72</v>
      </c>
      <c r="AA32" s="64">
        <f>IF((Y32=Z32),0,(Y32-Z32))</f>
        <v>35088.08</v>
      </c>
      <c r="AB32" s="467">
        <f>IF((X32=AA32),"OK",(X32-AA32))</f>
        <v>-0.20999999999912689</v>
      </c>
      <c r="AC32" s="72">
        <f>38.35+0.23</f>
        <v>38.58</v>
      </c>
      <c r="AD32" s="63"/>
      <c r="AE32" s="72">
        <v>9.05</v>
      </c>
      <c r="AF32" s="79"/>
      <c r="AG32" s="206">
        <f t="shared" si="0"/>
        <v>47.629999999999995</v>
      </c>
      <c r="AH32" s="210">
        <v>47.63</v>
      </c>
    </row>
    <row r="33" spans="1:34" s="406" customFormat="1" ht="19.5" customHeight="1">
      <c r="A33" s="106" t="s">
        <v>305</v>
      </c>
      <c r="B33" s="107" t="s">
        <v>306</v>
      </c>
      <c r="C33" s="568" t="s">
        <v>307</v>
      </c>
      <c r="D33" s="568"/>
      <c r="E33" s="568"/>
      <c r="F33" s="568"/>
      <c r="G33" s="568"/>
      <c r="H33" s="568"/>
      <c r="I33" s="568"/>
      <c r="J33" s="69">
        <v>380.82</v>
      </c>
      <c r="K33" s="109" t="s">
        <v>63</v>
      </c>
      <c r="L33" s="71"/>
      <c r="M33" s="71"/>
      <c r="N33" s="71"/>
      <c r="O33" s="71"/>
      <c r="P33" s="71"/>
      <c r="Q33" s="71"/>
      <c r="R33" s="71"/>
      <c r="S33" s="71"/>
      <c r="T33" s="435">
        <v>41.244367417677644</v>
      </c>
      <c r="U33" s="435">
        <f>J33*T33</f>
        <v>15706.68</v>
      </c>
      <c r="V33" s="435">
        <v>9.028701223675228</v>
      </c>
      <c r="W33" s="435">
        <f>(V33*J33)</f>
        <v>3438.31</v>
      </c>
      <c r="X33" s="436">
        <f>ROUND(U33+W33,2)</f>
        <v>19144.99</v>
      </c>
      <c r="Y33" s="455">
        <v>19144.99</v>
      </c>
      <c r="Z33" s="455">
        <v>0</v>
      </c>
      <c r="AA33" s="64">
        <f>IF((Y33=Z33),0,(Y33-Z33))</f>
        <v>19144.99</v>
      </c>
      <c r="AB33" s="64" t="str">
        <f>IF((X33=AA33),"OK",(X33-AA33))</f>
        <v>OK</v>
      </c>
      <c r="AC33" s="72">
        <v>42.38</v>
      </c>
      <c r="AD33" s="63"/>
      <c r="AE33" s="72">
        <f>9.05+0.23</f>
        <v>9.280000000000001</v>
      </c>
      <c r="AF33" s="79"/>
      <c r="AG33" s="206">
        <f t="shared" si="0"/>
        <v>51.660000000000004</v>
      </c>
      <c r="AH33" s="210">
        <v>51.66</v>
      </c>
    </row>
    <row r="34" spans="1:34" s="410" customFormat="1" ht="12.75">
      <c r="A34" s="104" t="s">
        <v>118</v>
      </c>
      <c r="B34" s="662" t="s">
        <v>108</v>
      </c>
      <c r="C34" s="662"/>
      <c r="D34" s="662"/>
      <c r="E34" s="662"/>
      <c r="F34" s="662"/>
      <c r="G34" s="662"/>
      <c r="H34" s="662"/>
      <c r="I34" s="662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438"/>
      <c r="U34" s="439">
        <f>SUM(U35:U39)</f>
        <v>2951.9700000000007</v>
      </c>
      <c r="V34" s="438"/>
      <c r="W34" s="439">
        <f>SUM(W35:W39)</f>
        <v>1430.9299999999998</v>
      </c>
      <c r="X34" s="440">
        <f t="shared" si="1"/>
        <v>4382.900000000001</v>
      </c>
      <c r="Y34" s="456"/>
      <c r="Z34" s="456"/>
      <c r="AA34" s="64"/>
      <c r="AB34" s="64"/>
      <c r="AC34" s="78"/>
      <c r="AD34" s="409"/>
      <c r="AE34" s="78"/>
      <c r="AF34" s="116"/>
      <c r="AG34" s="206">
        <f t="shared" si="0"/>
        <v>0</v>
      </c>
      <c r="AH34" s="215"/>
    </row>
    <row r="35" spans="1:34" s="406" customFormat="1" ht="12.75">
      <c r="A35" s="106" t="s">
        <v>119</v>
      </c>
      <c r="B35" s="107" t="s">
        <v>542</v>
      </c>
      <c r="C35" s="568" t="s">
        <v>109</v>
      </c>
      <c r="D35" s="568"/>
      <c r="E35" s="568"/>
      <c r="F35" s="568"/>
      <c r="G35" s="568"/>
      <c r="H35" s="568"/>
      <c r="I35" s="568"/>
      <c r="J35" s="69">
        <v>2.94</v>
      </c>
      <c r="K35" s="109" t="s">
        <v>64</v>
      </c>
      <c r="L35" s="71"/>
      <c r="M35" s="71"/>
      <c r="N35" s="71"/>
      <c r="O35" s="71"/>
      <c r="P35" s="71"/>
      <c r="Q35" s="71"/>
      <c r="R35" s="71"/>
      <c r="S35" s="71"/>
      <c r="T35" s="435">
        <v>293.08843537414964</v>
      </c>
      <c r="U35" s="435">
        <f>J35*T35</f>
        <v>861.68</v>
      </c>
      <c r="V35" s="465">
        <v>22.554421768707485</v>
      </c>
      <c r="W35" s="435">
        <f>(V35*J35)</f>
        <v>66.31</v>
      </c>
      <c r="X35" s="466">
        <f>(U35+W35)</f>
        <v>927.99</v>
      </c>
      <c r="Y35" s="455">
        <v>928</v>
      </c>
      <c r="Z35" s="455">
        <v>0</v>
      </c>
      <c r="AA35" s="64">
        <f>IF((Y35=Z35),0,(Y35-Z35))</f>
        <v>928</v>
      </c>
      <c r="AB35" s="467">
        <f>IF((X35=AA35),"OK",(X35-AA35))</f>
        <v>-0.009999999999990905</v>
      </c>
      <c r="AC35" s="73">
        <f>300.9+0.14+0.11</f>
        <v>301.15</v>
      </c>
      <c r="AD35" s="63"/>
      <c r="AE35" s="73">
        <v>23.18</v>
      </c>
      <c r="AF35" s="79"/>
      <c r="AG35" s="206">
        <f t="shared" si="0"/>
        <v>324.33</v>
      </c>
      <c r="AH35" s="210">
        <v>324.33</v>
      </c>
    </row>
    <row r="36" spans="1:34" s="406" customFormat="1" ht="19.5" customHeight="1">
      <c r="A36" s="106" t="s">
        <v>120</v>
      </c>
      <c r="B36" s="107" t="s">
        <v>216</v>
      </c>
      <c r="C36" s="569" t="s">
        <v>215</v>
      </c>
      <c r="D36" s="570"/>
      <c r="E36" s="570"/>
      <c r="F36" s="570"/>
      <c r="G36" s="570"/>
      <c r="H36" s="570"/>
      <c r="I36" s="571"/>
      <c r="J36" s="69">
        <v>59.38</v>
      </c>
      <c r="K36" s="109" t="s">
        <v>66</v>
      </c>
      <c r="L36" s="71"/>
      <c r="M36" s="71"/>
      <c r="N36" s="71"/>
      <c r="O36" s="71"/>
      <c r="P36" s="71"/>
      <c r="Q36" s="71"/>
      <c r="R36" s="71"/>
      <c r="S36" s="71"/>
      <c r="T36" s="435">
        <v>5.608959245537218</v>
      </c>
      <c r="U36" s="435">
        <f>J36*T36</f>
        <v>333.06</v>
      </c>
      <c r="V36" s="435">
        <v>2.5407544627820813</v>
      </c>
      <c r="W36" s="435">
        <f>(V36*J36)</f>
        <v>150.87</v>
      </c>
      <c r="X36" s="466">
        <f>ROUND(U36+W36,2)</f>
        <v>483.93</v>
      </c>
      <c r="Y36" s="455">
        <v>483.94</v>
      </c>
      <c r="Z36" s="455">
        <v>0</v>
      </c>
      <c r="AA36" s="64">
        <f>IF((Y36=Z36),0,(Y36-Z36))</f>
        <v>483.94</v>
      </c>
      <c r="AB36" s="467">
        <f>IF((X36=AA36),"OK",(X36-AA36))</f>
        <v>-0.009999999999990905</v>
      </c>
      <c r="AC36" s="73">
        <v>5.76</v>
      </c>
      <c r="AD36" s="63"/>
      <c r="AE36" s="73">
        <v>2.61</v>
      </c>
      <c r="AF36" s="79"/>
      <c r="AG36" s="206">
        <f t="shared" si="0"/>
        <v>8.37</v>
      </c>
      <c r="AH36" s="210">
        <v>8.37</v>
      </c>
    </row>
    <row r="37" spans="1:34" s="406" customFormat="1" ht="17.25" customHeight="1">
      <c r="A37" s="106" t="s">
        <v>121</v>
      </c>
      <c r="B37" s="107" t="s">
        <v>320</v>
      </c>
      <c r="C37" s="569" t="s">
        <v>318</v>
      </c>
      <c r="D37" s="570"/>
      <c r="E37" s="570"/>
      <c r="F37" s="570"/>
      <c r="G37" s="570"/>
      <c r="H37" s="570"/>
      <c r="I37" s="571"/>
      <c r="J37" s="69">
        <v>160.59</v>
      </c>
      <c r="K37" s="109" t="s">
        <v>66</v>
      </c>
      <c r="L37" s="71"/>
      <c r="M37" s="71"/>
      <c r="N37" s="71"/>
      <c r="O37" s="71"/>
      <c r="P37" s="71"/>
      <c r="Q37" s="71"/>
      <c r="R37" s="71"/>
      <c r="S37" s="71"/>
      <c r="T37" s="435">
        <v>5.656890217323619</v>
      </c>
      <c r="U37" s="435">
        <f>J37*T37</f>
        <v>908.44</v>
      </c>
      <c r="V37" s="435">
        <v>3.659443302820848</v>
      </c>
      <c r="W37" s="435">
        <f>(V37*J37)</f>
        <v>587.67</v>
      </c>
      <c r="X37" s="436">
        <f>ROUND(U37+W37,2)</f>
        <v>1496.11</v>
      </c>
      <c r="Y37" s="455">
        <v>1496.11</v>
      </c>
      <c r="Z37" s="455">
        <v>0</v>
      </c>
      <c r="AA37" s="64">
        <f>IF((Y37=Z37),0,(Y37-Z37))</f>
        <v>1496.11</v>
      </c>
      <c r="AB37" s="64" t="str">
        <f>IF((X37=AA37),"OK",(X37-AA37))</f>
        <v>OK</v>
      </c>
      <c r="AC37" s="73">
        <v>5.81</v>
      </c>
      <c r="AD37" s="63"/>
      <c r="AE37" s="73">
        <v>3.76</v>
      </c>
      <c r="AF37" s="79"/>
      <c r="AG37" s="206">
        <f t="shared" si="0"/>
        <v>9.57</v>
      </c>
      <c r="AH37" s="210">
        <v>9.57</v>
      </c>
    </row>
    <row r="38" spans="1:34" s="406" customFormat="1" ht="12.75">
      <c r="A38" s="106" t="s">
        <v>289</v>
      </c>
      <c r="B38" s="107" t="s">
        <v>112</v>
      </c>
      <c r="C38" s="587" t="s">
        <v>111</v>
      </c>
      <c r="D38" s="587"/>
      <c r="E38" s="587"/>
      <c r="F38" s="587"/>
      <c r="G38" s="587"/>
      <c r="H38" s="587"/>
      <c r="I38" s="587"/>
      <c r="J38" s="69">
        <v>24.24</v>
      </c>
      <c r="K38" s="109" t="s">
        <v>63</v>
      </c>
      <c r="L38" s="71"/>
      <c r="M38" s="71"/>
      <c r="N38" s="71"/>
      <c r="O38" s="71"/>
      <c r="P38" s="71"/>
      <c r="Q38" s="71"/>
      <c r="R38" s="71"/>
      <c r="S38" s="71"/>
      <c r="T38" s="435">
        <v>34.13325082508251</v>
      </c>
      <c r="U38" s="435">
        <f>J38*T38</f>
        <v>827.3900000000001</v>
      </c>
      <c r="V38" s="435">
        <v>23.10726072607261</v>
      </c>
      <c r="W38" s="435">
        <f>(V38*J38)</f>
        <v>560.12</v>
      </c>
      <c r="X38" s="436">
        <f>ROUND(U38+W38,2)</f>
        <v>1387.51</v>
      </c>
      <c r="Y38" s="455">
        <v>1387.51</v>
      </c>
      <c r="Z38" s="455">
        <v>0</v>
      </c>
      <c r="AA38" s="64">
        <f>IF((Y38=Z38),0,(Y38-Z38))</f>
        <v>1387.51</v>
      </c>
      <c r="AB38" s="64" t="str">
        <f>IF((X38=AA38),"OK",(X38-AA38))</f>
        <v>OK</v>
      </c>
      <c r="AC38" s="75">
        <f>34.94+0.13</f>
        <v>35.07</v>
      </c>
      <c r="AD38" s="63"/>
      <c r="AE38" s="73">
        <v>23.74</v>
      </c>
      <c r="AF38" s="79"/>
      <c r="AG38" s="206">
        <f t="shared" si="0"/>
        <v>58.81</v>
      </c>
      <c r="AH38" s="210">
        <v>58.81</v>
      </c>
    </row>
    <row r="39" spans="1:34" s="406" customFormat="1" ht="12.75">
      <c r="A39" s="106" t="s">
        <v>543</v>
      </c>
      <c r="B39" s="102" t="s">
        <v>124</v>
      </c>
      <c r="C39" s="588" t="s">
        <v>123</v>
      </c>
      <c r="D39" s="588"/>
      <c r="E39" s="588"/>
      <c r="F39" s="588"/>
      <c r="G39" s="588"/>
      <c r="H39" s="588"/>
      <c r="I39" s="588"/>
      <c r="J39" s="109">
        <v>31.51</v>
      </c>
      <c r="K39" s="81" t="s">
        <v>63</v>
      </c>
      <c r="L39" s="75"/>
      <c r="M39" s="75"/>
      <c r="N39" s="75"/>
      <c r="O39" s="75"/>
      <c r="P39" s="110"/>
      <c r="Q39" s="75"/>
      <c r="R39" s="75"/>
      <c r="S39" s="75"/>
      <c r="T39" s="435">
        <v>0.6791494763567121</v>
      </c>
      <c r="U39" s="435">
        <f>J39*T39</f>
        <v>21.4</v>
      </c>
      <c r="V39" s="435">
        <v>2.09330371310695</v>
      </c>
      <c r="W39" s="435">
        <f>(V39*J39)</f>
        <v>65.96</v>
      </c>
      <c r="X39" s="436">
        <f>ROUND(U39+W39,2)</f>
        <v>87.36</v>
      </c>
      <c r="Y39" s="455">
        <v>87.36</v>
      </c>
      <c r="Z39" s="455">
        <v>0</v>
      </c>
      <c r="AA39" s="64">
        <f>IF((Y39=Z39),0,(Y39-Z39))</f>
        <v>87.36</v>
      </c>
      <c r="AB39" s="64" t="str">
        <f>IF((X39=AA39),"OK",(X39-AA39))</f>
        <v>OK</v>
      </c>
      <c r="AC39" s="73">
        <v>0.7</v>
      </c>
      <c r="AD39" s="63"/>
      <c r="AE39" s="75">
        <v>2.15</v>
      </c>
      <c r="AF39" s="79"/>
      <c r="AG39" s="206">
        <f t="shared" si="0"/>
        <v>2.8499999999999996</v>
      </c>
      <c r="AH39" s="210">
        <v>2.85</v>
      </c>
    </row>
    <row r="40" spans="1:34" s="407" customFormat="1" ht="12.75">
      <c r="A40" s="98" t="s">
        <v>302</v>
      </c>
      <c r="B40" s="663" t="s">
        <v>115</v>
      </c>
      <c r="C40" s="664"/>
      <c r="D40" s="664"/>
      <c r="E40" s="664"/>
      <c r="F40" s="664"/>
      <c r="G40" s="664"/>
      <c r="H40" s="664"/>
      <c r="I40" s="665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437"/>
      <c r="U40" s="433">
        <f>U41+U44</f>
        <v>10426.870178147268</v>
      </c>
      <c r="V40" s="437"/>
      <c r="W40" s="433">
        <f>W41+W44</f>
        <v>6181.8331116389545</v>
      </c>
      <c r="X40" s="434">
        <f>W40+U40</f>
        <v>16608.703289786223</v>
      </c>
      <c r="Y40" s="454"/>
      <c r="Z40" s="454"/>
      <c r="AA40" s="454"/>
      <c r="AB40" s="408"/>
      <c r="AC40" s="207" t="s">
        <v>395</v>
      </c>
      <c r="AD40" s="115"/>
      <c r="AE40" s="207" t="s">
        <v>396</v>
      </c>
      <c r="AF40" s="114"/>
      <c r="AG40" s="205" t="s">
        <v>486</v>
      </c>
      <c r="AH40" s="209" t="s">
        <v>492</v>
      </c>
    </row>
    <row r="41" spans="1:34" s="410" customFormat="1" ht="12.75">
      <c r="A41" s="104" t="s">
        <v>303</v>
      </c>
      <c r="B41" s="685" t="s">
        <v>304</v>
      </c>
      <c r="C41" s="686"/>
      <c r="D41" s="686"/>
      <c r="E41" s="686"/>
      <c r="F41" s="686"/>
      <c r="G41" s="686"/>
      <c r="H41" s="686"/>
      <c r="I41" s="687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438"/>
      <c r="U41" s="439">
        <f>SUM(U42:U43)</f>
        <v>0</v>
      </c>
      <c r="V41" s="438"/>
      <c r="W41" s="439">
        <f>SUM(W42:W43)</f>
        <v>0</v>
      </c>
      <c r="X41" s="440">
        <f>U41+W41</f>
        <v>0</v>
      </c>
      <c r="Y41" s="456"/>
      <c r="Z41" s="456"/>
      <c r="AA41" s="456"/>
      <c r="AB41" s="409"/>
      <c r="AC41" s="78"/>
      <c r="AD41" s="409"/>
      <c r="AE41" s="78"/>
      <c r="AF41" s="116"/>
      <c r="AG41" s="206"/>
      <c r="AH41" s="215"/>
    </row>
    <row r="42" spans="1:34" s="406" customFormat="1" ht="12.75" customHeight="1">
      <c r="A42" s="106" t="s">
        <v>480</v>
      </c>
      <c r="B42" s="107" t="s">
        <v>214</v>
      </c>
      <c r="C42" s="568" t="s">
        <v>106</v>
      </c>
      <c r="D42" s="568"/>
      <c r="E42" s="568"/>
      <c r="F42" s="568"/>
      <c r="G42" s="568"/>
      <c r="H42" s="568"/>
      <c r="I42" s="568"/>
      <c r="J42" s="69">
        <v>0</v>
      </c>
      <c r="K42" s="76" t="s">
        <v>63</v>
      </c>
      <c r="L42" s="70"/>
      <c r="M42" s="70"/>
      <c r="N42" s="70"/>
      <c r="O42" s="70"/>
      <c r="P42" s="70"/>
      <c r="Q42" s="70"/>
      <c r="R42" s="70"/>
      <c r="S42" s="70"/>
      <c r="T42" s="435">
        <v>0.8948817332538261</v>
      </c>
      <c r="U42" s="435">
        <f>J42*T42</f>
        <v>0</v>
      </c>
      <c r="V42" s="435">
        <v>0.2956271119061816</v>
      </c>
      <c r="W42" s="435">
        <f>(V42*J42)</f>
        <v>0</v>
      </c>
      <c r="X42" s="436">
        <f>ROUND(U42+W42,2)</f>
        <v>0</v>
      </c>
      <c r="Y42" s="455">
        <v>1197.89</v>
      </c>
      <c r="Z42" s="455">
        <v>1197.89</v>
      </c>
      <c r="AA42" s="64">
        <f>IF((Y42=Z42),0,(Y42-Z42))</f>
        <v>0</v>
      </c>
      <c r="AB42" s="64" t="str">
        <f>IF((X42=AA42),"OK",(X42-AA42))</f>
        <v>OK</v>
      </c>
      <c r="AC42" s="72">
        <f>0.57+0.35</f>
        <v>0.9199999999999999</v>
      </c>
      <c r="AD42" s="63"/>
      <c r="AE42" s="72">
        <v>0.3</v>
      </c>
      <c r="AF42" s="79"/>
      <c r="AG42" s="206">
        <f t="shared" si="0"/>
        <v>1.22</v>
      </c>
      <c r="AH42" s="210">
        <v>1.22</v>
      </c>
    </row>
    <row r="43" spans="1:34" s="406" customFormat="1" ht="19.5" customHeight="1">
      <c r="A43" s="106" t="s">
        <v>481</v>
      </c>
      <c r="B43" s="107" t="s">
        <v>306</v>
      </c>
      <c r="C43" s="568" t="s">
        <v>307</v>
      </c>
      <c r="D43" s="568"/>
      <c r="E43" s="568"/>
      <c r="F43" s="568"/>
      <c r="G43" s="568"/>
      <c r="H43" s="568"/>
      <c r="I43" s="568"/>
      <c r="J43" s="69">
        <v>0</v>
      </c>
      <c r="K43" s="109" t="s">
        <v>63</v>
      </c>
      <c r="L43" s="71"/>
      <c r="M43" s="71"/>
      <c r="N43" s="71"/>
      <c r="O43" s="71"/>
      <c r="P43" s="71"/>
      <c r="Q43" s="71"/>
      <c r="R43" s="71"/>
      <c r="S43" s="71"/>
      <c r="T43" s="435">
        <v>41.46809829059829</v>
      </c>
      <c r="U43" s="435">
        <f>J43*T43</f>
        <v>0</v>
      </c>
      <c r="V43" s="435">
        <v>8.804978632478631</v>
      </c>
      <c r="W43" s="435">
        <f>(V43*J43)</f>
        <v>0</v>
      </c>
      <c r="X43" s="436">
        <f>ROUND(U43+W43,2)</f>
        <v>0</v>
      </c>
      <c r="Y43" s="455">
        <v>47055.6</v>
      </c>
      <c r="Z43" s="455">
        <v>47055.6</v>
      </c>
      <c r="AA43" s="64">
        <f>IF((Y43=Z43),0,(Y43-Z43))</f>
        <v>0</v>
      </c>
      <c r="AB43" s="64" t="str">
        <f>IF((X43=AA43),"OK",(X43-AA43))</f>
        <v>OK</v>
      </c>
      <c r="AC43" s="73">
        <f>42.38+0.23</f>
        <v>42.61</v>
      </c>
      <c r="AD43" s="63"/>
      <c r="AE43" s="73">
        <v>9.05</v>
      </c>
      <c r="AF43" s="79"/>
      <c r="AG43" s="206">
        <f t="shared" si="0"/>
        <v>51.66</v>
      </c>
      <c r="AH43" s="210">
        <v>51.66</v>
      </c>
    </row>
    <row r="44" spans="1:34" s="410" customFormat="1" ht="12.75">
      <c r="A44" s="104" t="s">
        <v>308</v>
      </c>
      <c r="B44" s="662" t="s">
        <v>108</v>
      </c>
      <c r="C44" s="662"/>
      <c r="D44" s="662"/>
      <c r="E44" s="662"/>
      <c r="F44" s="662"/>
      <c r="G44" s="662"/>
      <c r="H44" s="662"/>
      <c r="I44" s="662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438"/>
      <c r="U44" s="439">
        <f>SUM(U45:U49)</f>
        <v>10426.870178147268</v>
      </c>
      <c r="V44" s="438"/>
      <c r="W44" s="439">
        <f>SUM(W45:W49)</f>
        <v>6181.8331116389545</v>
      </c>
      <c r="X44" s="440">
        <f>U44+W44</f>
        <v>16608.703289786223</v>
      </c>
      <c r="Y44" s="456"/>
      <c r="Z44" s="456"/>
      <c r="AA44" s="456"/>
      <c r="AB44" s="409"/>
      <c r="AC44" s="78"/>
      <c r="AD44" s="409"/>
      <c r="AE44" s="78"/>
      <c r="AF44" s="116"/>
      <c r="AG44" s="206"/>
      <c r="AH44" s="215"/>
    </row>
    <row r="45" spans="1:34" s="406" customFormat="1" ht="12.75">
      <c r="A45" s="106" t="s">
        <v>309</v>
      </c>
      <c r="B45" s="107" t="s">
        <v>542</v>
      </c>
      <c r="C45" s="568" t="s">
        <v>109</v>
      </c>
      <c r="D45" s="568"/>
      <c r="E45" s="568"/>
      <c r="F45" s="568"/>
      <c r="G45" s="568"/>
      <c r="H45" s="568"/>
      <c r="I45" s="568"/>
      <c r="J45" s="69">
        <f>16.84-13.47</f>
        <v>3.369999999999999</v>
      </c>
      <c r="K45" s="109" t="s">
        <v>64</v>
      </c>
      <c r="L45" s="71"/>
      <c r="M45" s="71"/>
      <c r="N45" s="71"/>
      <c r="O45" s="71"/>
      <c r="P45" s="71"/>
      <c r="Q45" s="71"/>
      <c r="R45" s="71"/>
      <c r="S45" s="71"/>
      <c r="T45" s="435">
        <v>293.0890736342043</v>
      </c>
      <c r="U45" s="435">
        <f>J45*T45</f>
        <v>987.7101781472682</v>
      </c>
      <c r="V45" s="435">
        <v>22.555819477434678</v>
      </c>
      <c r="W45" s="435">
        <f>(V45*J45)</f>
        <v>76.01311163895485</v>
      </c>
      <c r="X45" s="436">
        <f>ROUND(U45+W45,2)</f>
        <v>1063.72</v>
      </c>
      <c r="Y45" s="455">
        <v>5315.46</v>
      </c>
      <c r="Z45" s="455">
        <v>4252.37</v>
      </c>
      <c r="AA45" s="64">
        <f>IF((Y45=Z45),0,(Y45-Z45))</f>
        <v>1063.0900000000001</v>
      </c>
      <c r="AB45" s="467">
        <f>IF((X45=AA45),"OK",(X45-AA45))</f>
        <v>0.6299999999998818</v>
      </c>
      <c r="AC45" s="73">
        <f>300.9+0.14+0.11</f>
        <v>301.15</v>
      </c>
      <c r="AD45" s="63"/>
      <c r="AE45" s="73">
        <v>23.18</v>
      </c>
      <c r="AF45" s="79"/>
      <c r="AG45" s="206">
        <f>AE45+AC45</f>
        <v>324.33</v>
      </c>
      <c r="AH45" s="210">
        <v>324.33</v>
      </c>
    </row>
    <row r="46" spans="1:34" s="406" customFormat="1" ht="19.5" customHeight="1">
      <c r="A46" s="106" t="s">
        <v>310</v>
      </c>
      <c r="B46" s="107" t="s">
        <v>216</v>
      </c>
      <c r="C46" s="568" t="s">
        <v>215</v>
      </c>
      <c r="D46" s="568"/>
      <c r="E46" s="568"/>
      <c r="F46" s="568"/>
      <c r="G46" s="568"/>
      <c r="H46" s="568"/>
      <c r="I46" s="568"/>
      <c r="J46" s="69">
        <v>687.96</v>
      </c>
      <c r="K46" s="109" t="s">
        <v>66</v>
      </c>
      <c r="L46" s="71"/>
      <c r="M46" s="71"/>
      <c r="N46" s="71"/>
      <c r="O46" s="71"/>
      <c r="P46" s="71"/>
      <c r="Q46" s="71"/>
      <c r="R46" s="71"/>
      <c r="S46" s="71"/>
      <c r="T46" s="435">
        <v>5.608974358974359</v>
      </c>
      <c r="U46" s="435">
        <f>J46*T46</f>
        <v>3858.75</v>
      </c>
      <c r="V46" s="435">
        <v>2.5408163265306123</v>
      </c>
      <c r="W46" s="435">
        <f>(V46*J46)</f>
        <v>1747.98</v>
      </c>
      <c r="X46" s="466">
        <f>ROUND(U46+W46,2)</f>
        <v>5606.73</v>
      </c>
      <c r="Y46" s="455">
        <v>5606.74</v>
      </c>
      <c r="Z46" s="455">
        <v>0</v>
      </c>
      <c r="AA46" s="64">
        <f>IF((Y46=Z46),0,(Y46-Z46))</f>
        <v>5606.74</v>
      </c>
      <c r="AB46" s="467">
        <f>IF((X46=AA46),"OK",(X46-AA46))</f>
        <v>-0.010000000000218279</v>
      </c>
      <c r="AC46" s="73">
        <v>5.76</v>
      </c>
      <c r="AD46" s="63"/>
      <c r="AE46" s="73">
        <v>2.61</v>
      </c>
      <c r="AF46" s="79"/>
      <c r="AG46" s="206">
        <f t="shared" si="0"/>
        <v>8.37</v>
      </c>
      <c r="AH46" s="210">
        <v>8.37</v>
      </c>
    </row>
    <row r="47" spans="1:34" s="406" customFormat="1" ht="17.25" customHeight="1">
      <c r="A47" s="106" t="s">
        <v>121</v>
      </c>
      <c r="B47" s="107" t="s">
        <v>320</v>
      </c>
      <c r="C47" s="569" t="s">
        <v>318</v>
      </c>
      <c r="D47" s="570"/>
      <c r="E47" s="570"/>
      <c r="F47" s="570"/>
      <c r="G47" s="570"/>
      <c r="H47" s="570"/>
      <c r="I47" s="571"/>
      <c r="J47" s="69">
        <v>95.49</v>
      </c>
      <c r="K47" s="109" t="s">
        <v>66</v>
      </c>
      <c r="L47" s="71"/>
      <c r="M47" s="71"/>
      <c r="N47" s="71"/>
      <c r="O47" s="71"/>
      <c r="P47" s="71"/>
      <c r="Q47" s="71"/>
      <c r="R47" s="71"/>
      <c r="S47" s="71"/>
      <c r="T47" s="435">
        <v>5.656927426955702</v>
      </c>
      <c r="U47" s="435">
        <f>J47*T47</f>
        <v>540.18</v>
      </c>
      <c r="V47" s="435">
        <v>3.659440779139177</v>
      </c>
      <c r="W47" s="435">
        <f>(V47*J47)</f>
        <v>349.44</v>
      </c>
      <c r="X47" s="436">
        <f>ROUND(U47+W47,2)</f>
        <v>889.62</v>
      </c>
      <c r="Y47" s="455">
        <v>889.62</v>
      </c>
      <c r="Z47" s="455">
        <v>0</v>
      </c>
      <c r="AA47" s="64">
        <f>IF((Y47=Z47),0,(Y47-Z47))</f>
        <v>889.62</v>
      </c>
      <c r="AB47" s="64" t="str">
        <f>IF((X47=AA47),"OK",(X47-AA47))</f>
        <v>OK</v>
      </c>
      <c r="AC47" s="73">
        <v>5.81</v>
      </c>
      <c r="AD47" s="63"/>
      <c r="AE47" s="73">
        <v>3.76</v>
      </c>
      <c r="AF47" s="79"/>
      <c r="AG47" s="206">
        <f>AE47+AC47</f>
        <v>9.57</v>
      </c>
      <c r="AH47" s="210">
        <v>9.57</v>
      </c>
    </row>
    <row r="48" spans="1:34" s="406" customFormat="1" ht="12.75">
      <c r="A48" s="106" t="s">
        <v>311</v>
      </c>
      <c r="B48" s="107" t="s">
        <v>112</v>
      </c>
      <c r="C48" s="587" t="s">
        <v>111</v>
      </c>
      <c r="D48" s="587"/>
      <c r="E48" s="587"/>
      <c r="F48" s="587"/>
      <c r="G48" s="587"/>
      <c r="H48" s="587"/>
      <c r="I48" s="587"/>
      <c r="J48" s="69">
        <v>140.4</v>
      </c>
      <c r="K48" s="109" t="s">
        <v>63</v>
      </c>
      <c r="L48" s="71"/>
      <c r="M48" s="71"/>
      <c r="N48" s="71"/>
      <c r="O48" s="71"/>
      <c r="P48" s="71"/>
      <c r="Q48" s="71"/>
      <c r="R48" s="71"/>
      <c r="S48" s="71"/>
      <c r="T48" s="435">
        <v>34.13326210826211</v>
      </c>
      <c r="U48" s="435">
        <f>J48*T48</f>
        <v>4792.31</v>
      </c>
      <c r="V48" s="435">
        <v>23.10705128205128</v>
      </c>
      <c r="W48" s="435">
        <f>(V48*J48)</f>
        <v>3244.23</v>
      </c>
      <c r="X48" s="466">
        <f>ROUND(U48+W48,2)</f>
        <v>8036.54</v>
      </c>
      <c r="Y48" s="455">
        <v>8036.55</v>
      </c>
      <c r="Z48" s="455">
        <v>0</v>
      </c>
      <c r="AA48" s="64">
        <f>IF((Y48=Z48),0,(Y48-Z48))</f>
        <v>8036.55</v>
      </c>
      <c r="AB48" s="467">
        <f>IF((X48=AA48),"OK",(X48-AA48))</f>
        <v>-0.010000000000218279</v>
      </c>
      <c r="AC48" s="73">
        <f>34.94+0.03+0.1</f>
        <v>35.07</v>
      </c>
      <c r="AD48" s="63"/>
      <c r="AE48" s="73">
        <v>23.74</v>
      </c>
      <c r="AF48" s="79"/>
      <c r="AG48" s="206">
        <f t="shared" si="0"/>
        <v>58.81</v>
      </c>
      <c r="AH48" s="210">
        <v>58.81</v>
      </c>
    </row>
    <row r="49" spans="1:34" s="406" customFormat="1" ht="12.75">
      <c r="A49" s="106" t="s">
        <v>482</v>
      </c>
      <c r="B49" s="102" t="s">
        <v>124</v>
      </c>
      <c r="C49" s="588" t="s">
        <v>123</v>
      </c>
      <c r="D49" s="588"/>
      <c r="E49" s="588"/>
      <c r="F49" s="588"/>
      <c r="G49" s="588"/>
      <c r="H49" s="588"/>
      <c r="I49" s="588"/>
      <c r="J49" s="109">
        <v>365.04</v>
      </c>
      <c r="K49" s="81" t="s">
        <v>63</v>
      </c>
      <c r="L49" s="75"/>
      <c r="M49" s="75"/>
      <c r="N49" s="75"/>
      <c r="O49" s="75"/>
      <c r="P49" s="110"/>
      <c r="Q49" s="75"/>
      <c r="R49" s="75"/>
      <c r="S49" s="75"/>
      <c r="T49" s="435">
        <v>0.6791584483892176</v>
      </c>
      <c r="U49" s="435">
        <f>J49*T49</f>
        <v>247.92</v>
      </c>
      <c r="V49" s="435">
        <v>2.0933870260793337</v>
      </c>
      <c r="W49" s="435">
        <f>(V49*J49)</f>
        <v>764.17</v>
      </c>
      <c r="X49" s="466">
        <f>ROUND(U49+W49,2)</f>
        <v>1012.09</v>
      </c>
      <c r="Y49" s="455">
        <v>1012.08</v>
      </c>
      <c r="Z49" s="455">
        <v>0</v>
      </c>
      <c r="AA49" s="64">
        <f>IF((Y49=Z49),0,(Y49-Z49))</f>
        <v>1012.08</v>
      </c>
      <c r="AB49" s="467">
        <f>IF((X49=AA49),"OK",(X49-AA49))</f>
        <v>0.009999999999990905</v>
      </c>
      <c r="AC49" s="75">
        <v>0.7</v>
      </c>
      <c r="AD49" s="63"/>
      <c r="AE49" s="75">
        <v>2.15</v>
      </c>
      <c r="AF49" s="79"/>
      <c r="AG49" s="206">
        <f t="shared" si="0"/>
        <v>2.8499999999999996</v>
      </c>
      <c r="AH49" s="210">
        <v>2.85</v>
      </c>
    </row>
    <row r="50" spans="1:34" s="407" customFormat="1" ht="12.75">
      <c r="A50" s="123">
        <v>4</v>
      </c>
      <c r="B50" s="575" t="s">
        <v>288</v>
      </c>
      <c r="C50" s="575"/>
      <c r="D50" s="575"/>
      <c r="E50" s="575"/>
      <c r="F50" s="575"/>
      <c r="G50" s="575"/>
      <c r="H50" s="575"/>
      <c r="I50" s="575"/>
      <c r="J50" s="111"/>
      <c r="K50" s="99"/>
      <c r="L50" s="99"/>
      <c r="M50" s="99"/>
      <c r="N50" s="99"/>
      <c r="O50" s="99"/>
      <c r="P50" s="99"/>
      <c r="Q50" s="99"/>
      <c r="R50" s="99"/>
      <c r="S50" s="99"/>
      <c r="T50" s="437"/>
      <c r="U50" s="433">
        <f>U51+U57+U65</f>
        <v>223057.68</v>
      </c>
      <c r="V50" s="433"/>
      <c r="W50" s="433">
        <f>W51+W57+W65</f>
        <v>56406.979999999996</v>
      </c>
      <c r="X50" s="434">
        <f>X51+X57+X65</f>
        <v>279464.66</v>
      </c>
      <c r="Y50" s="454"/>
      <c r="Z50" s="454"/>
      <c r="AA50" s="454"/>
      <c r="AB50" s="408"/>
      <c r="AC50" s="207" t="s">
        <v>395</v>
      </c>
      <c r="AD50" s="115"/>
      <c r="AE50" s="207" t="s">
        <v>396</v>
      </c>
      <c r="AF50" s="114"/>
      <c r="AG50" s="205" t="s">
        <v>486</v>
      </c>
      <c r="AH50" s="209" t="s">
        <v>492</v>
      </c>
    </row>
    <row r="51" spans="1:34" s="410" customFormat="1" ht="12.75">
      <c r="A51" s="104" t="s">
        <v>323</v>
      </c>
      <c r="B51" s="662" t="s">
        <v>275</v>
      </c>
      <c r="C51" s="662"/>
      <c r="D51" s="662"/>
      <c r="E51" s="662"/>
      <c r="F51" s="662"/>
      <c r="G51" s="662"/>
      <c r="H51" s="662"/>
      <c r="I51" s="662"/>
      <c r="J51" s="112"/>
      <c r="K51" s="105"/>
      <c r="L51" s="105"/>
      <c r="M51" s="105"/>
      <c r="N51" s="105"/>
      <c r="O51" s="105"/>
      <c r="P51" s="105"/>
      <c r="Q51" s="105"/>
      <c r="R51" s="105"/>
      <c r="S51" s="105"/>
      <c r="T51" s="438"/>
      <c r="U51" s="439">
        <f>SUM(U52:U56)</f>
        <v>104826.01</v>
      </c>
      <c r="V51" s="438"/>
      <c r="W51" s="439">
        <f>SUM(W52:W56)</f>
        <v>32567.18</v>
      </c>
      <c r="X51" s="440">
        <f>U51+W51</f>
        <v>137393.19</v>
      </c>
      <c r="Y51" s="456"/>
      <c r="Z51" s="456"/>
      <c r="AA51" s="456"/>
      <c r="AB51" s="409"/>
      <c r="AC51" s="78"/>
      <c r="AD51" s="409"/>
      <c r="AE51" s="78"/>
      <c r="AF51" s="116"/>
      <c r="AG51" s="206"/>
      <c r="AH51" s="215"/>
    </row>
    <row r="52" spans="1:34" s="406" customFormat="1" ht="12.75">
      <c r="A52" s="106" t="s">
        <v>324</v>
      </c>
      <c r="B52" s="107" t="s">
        <v>214</v>
      </c>
      <c r="C52" s="568" t="s">
        <v>106</v>
      </c>
      <c r="D52" s="568"/>
      <c r="E52" s="568"/>
      <c r="F52" s="568"/>
      <c r="G52" s="568"/>
      <c r="H52" s="568"/>
      <c r="I52" s="568"/>
      <c r="J52" s="69">
        <v>1664</v>
      </c>
      <c r="K52" s="76" t="s">
        <v>63</v>
      </c>
      <c r="L52" s="70"/>
      <c r="M52" s="70"/>
      <c r="N52" s="70"/>
      <c r="O52" s="70"/>
      <c r="P52" s="70"/>
      <c r="Q52" s="70"/>
      <c r="R52" s="70"/>
      <c r="S52" s="70"/>
      <c r="T52" s="435">
        <v>0.8948798076923077</v>
      </c>
      <c r="U52" s="435">
        <f>J52*T52</f>
        <v>1489.08</v>
      </c>
      <c r="V52" s="435">
        <v>0.29563100961538463</v>
      </c>
      <c r="W52" s="435">
        <f>(V52*J52)</f>
        <v>491.93</v>
      </c>
      <c r="X52" s="436">
        <f>ROUND(U52+W52,2)</f>
        <v>1981.01</v>
      </c>
      <c r="Y52" s="455">
        <v>1981.01</v>
      </c>
      <c r="Z52" s="455">
        <v>0</v>
      </c>
      <c r="AA52" s="64">
        <f>IF((Y52=Z52),0,(Y52-Z52))</f>
        <v>1981.01</v>
      </c>
      <c r="AB52" s="64" t="str">
        <f>IF((X52=AA52),"OK",(X52-AA52))</f>
        <v>OK</v>
      </c>
      <c r="AC52" s="72">
        <f>0.57+0.35</f>
        <v>0.9199999999999999</v>
      </c>
      <c r="AD52" s="63"/>
      <c r="AE52" s="72">
        <v>0.3</v>
      </c>
      <c r="AF52" s="79"/>
      <c r="AG52" s="206">
        <f t="shared" si="0"/>
        <v>1.22</v>
      </c>
      <c r="AH52" s="210">
        <v>1.22</v>
      </c>
    </row>
    <row r="53" spans="1:34" s="406" customFormat="1" ht="19.5" customHeight="1">
      <c r="A53" s="106" t="s">
        <v>325</v>
      </c>
      <c r="B53" s="108" t="s">
        <v>113</v>
      </c>
      <c r="C53" s="569" t="s">
        <v>233</v>
      </c>
      <c r="D53" s="570"/>
      <c r="E53" s="570"/>
      <c r="F53" s="570"/>
      <c r="G53" s="570"/>
      <c r="H53" s="570"/>
      <c r="I53" s="571"/>
      <c r="J53" s="69">
        <v>1664</v>
      </c>
      <c r="K53" s="76" t="s">
        <v>63</v>
      </c>
      <c r="L53" s="70"/>
      <c r="M53" s="70"/>
      <c r="N53" s="70"/>
      <c r="O53" s="70"/>
      <c r="P53" s="70"/>
      <c r="Q53" s="70"/>
      <c r="R53" s="70"/>
      <c r="S53" s="70"/>
      <c r="T53" s="435">
        <v>1.5260877403846154</v>
      </c>
      <c r="U53" s="435">
        <f>J53*T53</f>
        <v>2539.41</v>
      </c>
      <c r="V53" s="435">
        <v>2.7245913461538462</v>
      </c>
      <c r="W53" s="435">
        <f>(V53*J53)</f>
        <v>4533.72</v>
      </c>
      <c r="X53" s="436">
        <f>ROUND(U53+W53,2)</f>
        <v>7073.13</v>
      </c>
      <c r="Y53" s="455">
        <v>7073.13</v>
      </c>
      <c r="Z53" s="455">
        <v>0</v>
      </c>
      <c r="AA53" s="64">
        <f>IF((Y53=Z53),0,(Y53-Z53))</f>
        <v>7073.13</v>
      </c>
      <c r="AB53" s="64" t="str">
        <f>IF((X53=AA53),"OK",(X53-AA53))</f>
        <v>OK</v>
      </c>
      <c r="AC53" s="70">
        <v>1.57</v>
      </c>
      <c r="AD53" s="63"/>
      <c r="AE53" s="70">
        <v>2.8</v>
      </c>
      <c r="AF53" s="79"/>
      <c r="AG53" s="206">
        <f t="shared" si="0"/>
        <v>4.37</v>
      </c>
      <c r="AH53" s="210">
        <v>4.37</v>
      </c>
    </row>
    <row r="54" spans="1:34" s="406" customFormat="1" ht="12.75">
      <c r="A54" s="106" t="s">
        <v>326</v>
      </c>
      <c r="B54" s="108" t="s">
        <v>571</v>
      </c>
      <c r="C54" s="569" t="s">
        <v>572</v>
      </c>
      <c r="D54" s="570"/>
      <c r="E54" s="570"/>
      <c r="F54" s="570"/>
      <c r="G54" s="570"/>
      <c r="H54" s="570"/>
      <c r="I54" s="571"/>
      <c r="J54" s="69">
        <v>1500</v>
      </c>
      <c r="K54" s="76" t="s">
        <v>63</v>
      </c>
      <c r="L54" s="70"/>
      <c r="M54" s="70"/>
      <c r="N54" s="70"/>
      <c r="O54" s="70"/>
      <c r="P54" s="70"/>
      <c r="Q54" s="70"/>
      <c r="R54" s="70"/>
      <c r="S54" s="70"/>
      <c r="T54" s="435">
        <v>7.774273333333333</v>
      </c>
      <c r="U54" s="435">
        <f>J54*T54</f>
        <v>11661.41</v>
      </c>
      <c r="V54" s="435">
        <v>3.97902</v>
      </c>
      <c r="W54" s="435">
        <f>(V54*J54)</f>
        <v>5968.53</v>
      </c>
      <c r="X54" s="436">
        <f>ROUND(U54+W54,2)</f>
        <v>17629.94</v>
      </c>
      <c r="Y54" s="455">
        <v>17629.94</v>
      </c>
      <c r="Z54" s="455">
        <v>0</v>
      </c>
      <c r="AA54" s="64">
        <f>IF((Y54=Z54),0,(Y54-Z54))</f>
        <v>17629.94</v>
      </c>
      <c r="AB54" s="64" t="str">
        <f>IF((X54=AA54),"OK",(X54-AA54))</f>
        <v>OK</v>
      </c>
      <c r="AC54" s="70">
        <f>7.92+0.03+0.04</f>
        <v>7.99</v>
      </c>
      <c r="AD54" s="63"/>
      <c r="AE54" s="70">
        <v>4.09</v>
      </c>
      <c r="AF54" s="79"/>
      <c r="AG54" s="206">
        <f t="shared" si="0"/>
        <v>12.08</v>
      </c>
      <c r="AH54" s="210">
        <v>12.08</v>
      </c>
    </row>
    <row r="55" spans="1:34" s="412" customFormat="1" ht="13.5" customHeight="1">
      <c r="A55" s="106" t="s">
        <v>328</v>
      </c>
      <c r="B55" s="113" t="s">
        <v>135</v>
      </c>
      <c r="C55" s="572" t="s">
        <v>519</v>
      </c>
      <c r="D55" s="573"/>
      <c r="E55" s="573"/>
      <c r="F55" s="573"/>
      <c r="G55" s="573"/>
      <c r="H55" s="573"/>
      <c r="I55" s="574"/>
      <c r="J55" s="225">
        <v>1500</v>
      </c>
      <c r="K55" s="219" t="s">
        <v>63</v>
      </c>
      <c r="L55" s="232"/>
      <c r="M55" s="232"/>
      <c r="N55" s="232"/>
      <c r="O55" s="232"/>
      <c r="P55" s="232"/>
      <c r="Q55" s="232"/>
      <c r="R55" s="232"/>
      <c r="S55" s="232"/>
      <c r="T55" s="435">
        <v>57.528</v>
      </c>
      <c r="U55" s="435">
        <f>J55*T55</f>
        <v>86292</v>
      </c>
      <c r="V55" s="435">
        <v>14.382</v>
      </c>
      <c r="W55" s="435">
        <f>(V55*J55)</f>
        <v>21573</v>
      </c>
      <c r="X55" s="436">
        <f>ROUND(U55+W55,2)</f>
        <v>107865</v>
      </c>
      <c r="Y55" s="455">
        <v>107865</v>
      </c>
      <c r="Z55" s="455">
        <v>0</v>
      </c>
      <c r="AA55" s="64">
        <f>IF((Y55=Z55),0,(Y55-Z55))</f>
        <v>107865</v>
      </c>
      <c r="AB55" s="64" t="str">
        <f>IF((X55=AA55),"OK",(X55-AA55))</f>
        <v>OK</v>
      </c>
      <c r="AC55" s="232">
        <f>90*0.8</f>
        <v>72</v>
      </c>
      <c r="AD55" s="411"/>
      <c r="AE55" s="232">
        <f>90*0.2</f>
        <v>18</v>
      </c>
      <c r="AF55" s="222"/>
      <c r="AG55" s="223">
        <f t="shared" si="0"/>
        <v>90</v>
      </c>
      <c r="AH55" s="224"/>
    </row>
    <row r="56" spans="1:34" s="406" customFormat="1" ht="30" customHeight="1">
      <c r="A56" s="106" t="s">
        <v>525</v>
      </c>
      <c r="B56" s="108" t="s">
        <v>487</v>
      </c>
      <c r="C56" s="568" t="s">
        <v>241</v>
      </c>
      <c r="D56" s="568"/>
      <c r="E56" s="568"/>
      <c r="F56" s="568"/>
      <c r="G56" s="568"/>
      <c r="H56" s="568"/>
      <c r="I56" s="568"/>
      <c r="J56" s="69">
        <v>1</v>
      </c>
      <c r="K56" s="76" t="s">
        <v>114</v>
      </c>
      <c r="L56" s="70"/>
      <c r="M56" s="70"/>
      <c r="N56" s="70"/>
      <c r="O56" s="70"/>
      <c r="P56" s="70"/>
      <c r="Q56" s="70"/>
      <c r="R56" s="70"/>
      <c r="S56" s="70"/>
      <c r="T56" s="435">
        <v>2844.11</v>
      </c>
      <c r="U56" s="435">
        <f>J56*T56</f>
        <v>2844.11</v>
      </c>
      <c r="V56" s="435">
        <v>0</v>
      </c>
      <c r="W56" s="435">
        <f>(V56*J56)</f>
        <v>0</v>
      </c>
      <c r="X56" s="436">
        <f>ROUND(U56+W56,2)</f>
        <v>2844.11</v>
      </c>
      <c r="Y56" s="455">
        <v>2844.11</v>
      </c>
      <c r="Z56" s="455">
        <v>0</v>
      </c>
      <c r="AA56" s="64">
        <f>IF((Y56=Z56),0,(Y56-Z56))</f>
        <v>2844.11</v>
      </c>
      <c r="AB56" s="64" t="str">
        <f>IF((X56=AA56),"OK",(X56-AA56))</f>
        <v>OK</v>
      </c>
      <c r="AC56" s="70">
        <v>2922.31</v>
      </c>
      <c r="AD56" s="63"/>
      <c r="AE56" s="70">
        <v>0</v>
      </c>
      <c r="AF56" s="79"/>
      <c r="AG56" s="206">
        <f t="shared" si="0"/>
        <v>2922.31</v>
      </c>
      <c r="AH56" s="210">
        <v>2922.31</v>
      </c>
    </row>
    <row r="57" spans="1:34" s="410" customFormat="1" ht="12.75">
      <c r="A57" s="104" t="s">
        <v>329</v>
      </c>
      <c r="B57" s="662" t="s">
        <v>226</v>
      </c>
      <c r="C57" s="662"/>
      <c r="D57" s="662"/>
      <c r="E57" s="662"/>
      <c r="F57" s="662"/>
      <c r="G57" s="662"/>
      <c r="H57" s="662"/>
      <c r="I57" s="662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438"/>
      <c r="U57" s="439">
        <f>SUM(U58:U64)</f>
        <v>15055.98</v>
      </c>
      <c r="V57" s="438"/>
      <c r="W57" s="439">
        <f>SUM(W58:W64)</f>
        <v>2206.1099999999997</v>
      </c>
      <c r="X57" s="440">
        <f>U57+W57</f>
        <v>17262.09</v>
      </c>
      <c r="Y57" s="456"/>
      <c r="Z57" s="456"/>
      <c r="AA57" s="456"/>
      <c r="AB57" s="409"/>
      <c r="AC57" s="78"/>
      <c r="AD57" s="409"/>
      <c r="AE57" s="78"/>
      <c r="AF57" s="116"/>
      <c r="AG57" s="206">
        <f t="shared" si="0"/>
        <v>0</v>
      </c>
      <c r="AH57" s="215"/>
    </row>
    <row r="58" spans="1:34" s="406" customFormat="1" ht="12.75">
      <c r="A58" s="106" t="s">
        <v>330</v>
      </c>
      <c r="B58" s="107" t="s">
        <v>228</v>
      </c>
      <c r="C58" s="587" t="s">
        <v>227</v>
      </c>
      <c r="D58" s="587"/>
      <c r="E58" s="587"/>
      <c r="F58" s="587"/>
      <c r="G58" s="587"/>
      <c r="H58" s="587"/>
      <c r="I58" s="587"/>
      <c r="J58" s="69">
        <v>6</v>
      </c>
      <c r="K58" s="109" t="s">
        <v>114</v>
      </c>
      <c r="L58" s="70"/>
      <c r="M58" s="70"/>
      <c r="N58" s="70"/>
      <c r="O58" s="70"/>
      <c r="P58" s="70"/>
      <c r="Q58" s="70"/>
      <c r="R58" s="70"/>
      <c r="S58" s="70"/>
      <c r="T58" s="435">
        <v>1322.21</v>
      </c>
      <c r="U58" s="435">
        <f aca="true" t="shared" si="2" ref="U58:U64">J58*T58</f>
        <v>7933.26</v>
      </c>
      <c r="V58" s="435">
        <v>92.10833333333333</v>
      </c>
      <c r="W58" s="435">
        <f aca="true" t="shared" si="3" ref="W58:W64">(V58*J58)</f>
        <v>552.65</v>
      </c>
      <c r="X58" s="436">
        <f aca="true" t="shared" si="4" ref="X58:X64">ROUND(U58+W58,2)</f>
        <v>8485.91</v>
      </c>
      <c r="Y58" s="455">
        <v>8485.91</v>
      </c>
      <c r="Z58" s="455">
        <v>0</v>
      </c>
      <c r="AA58" s="64">
        <f aca="true" t="shared" si="5" ref="AA58:AA64">IF((Y58=Z58),0,(Y58-Z58))</f>
        <v>8485.91</v>
      </c>
      <c r="AB58" s="64" t="str">
        <f aca="true" t="shared" si="6" ref="AB58:AB64">IF((X58=AA58),"OK",(X58-AA58))</f>
        <v>OK</v>
      </c>
      <c r="AC58" s="70">
        <f>1358.21+0.35</f>
        <v>1358.56</v>
      </c>
      <c r="AD58" s="63"/>
      <c r="AE58" s="70">
        <v>94.64</v>
      </c>
      <c r="AF58" s="79"/>
      <c r="AG58" s="206">
        <f t="shared" si="0"/>
        <v>1453.2</v>
      </c>
      <c r="AH58" s="216">
        <v>1453.2</v>
      </c>
    </row>
    <row r="59" spans="1:34" s="406" customFormat="1" ht="12.75">
      <c r="A59" s="106" t="s">
        <v>331</v>
      </c>
      <c r="B59" s="107" t="s">
        <v>499</v>
      </c>
      <c r="C59" s="565" t="s">
        <v>501</v>
      </c>
      <c r="D59" s="566"/>
      <c r="E59" s="566"/>
      <c r="F59" s="566"/>
      <c r="G59" s="566"/>
      <c r="H59" s="566"/>
      <c r="I59" s="567"/>
      <c r="J59" s="69">
        <v>0.11</v>
      </c>
      <c r="K59" s="109" t="s">
        <v>64</v>
      </c>
      <c r="L59" s="70"/>
      <c r="M59" s="70"/>
      <c r="N59" s="70"/>
      <c r="O59" s="70"/>
      <c r="P59" s="70"/>
      <c r="Q59" s="70"/>
      <c r="R59" s="70"/>
      <c r="S59" s="70"/>
      <c r="T59" s="465">
        <v>265.6363636363636</v>
      </c>
      <c r="U59" s="435">
        <f t="shared" si="2"/>
        <v>29.22</v>
      </c>
      <c r="V59" s="465">
        <v>142.45454545454544</v>
      </c>
      <c r="W59" s="435">
        <f t="shared" si="3"/>
        <v>15.669999999999998</v>
      </c>
      <c r="X59" s="436">
        <f t="shared" si="4"/>
        <v>44.89</v>
      </c>
      <c r="Y59" s="455">
        <v>44.89</v>
      </c>
      <c r="Z59" s="455">
        <v>0</v>
      </c>
      <c r="AA59" s="64">
        <f t="shared" si="5"/>
        <v>44.89</v>
      </c>
      <c r="AB59" s="64" t="str">
        <f t="shared" si="6"/>
        <v>OK</v>
      </c>
      <c r="AC59" s="70">
        <f>268.89+2.55+1.49</f>
        <v>272.93</v>
      </c>
      <c r="AD59" s="63"/>
      <c r="AE59" s="70">
        <v>146.4</v>
      </c>
      <c r="AF59" s="79"/>
      <c r="AG59" s="206">
        <f t="shared" si="0"/>
        <v>419.33000000000004</v>
      </c>
      <c r="AH59" s="216">
        <v>419.43</v>
      </c>
    </row>
    <row r="60" spans="1:34" s="406" customFormat="1" ht="12.75">
      <c r="A60" s="106" t="s">
        <v>332</v>
      </c>
      <c r="B60" s="107" t="s">
        <v>507</v>
      </c>
      <c r="C60" s="565" t="s">
        <v>508</v>
      </c>
      <c r="D60" s="566"/>
      <c r="E60" s="566"/>
      <c r="F60" s="566"/>
      <c r="G60" s="566"/>
      <c r="H60" s="566"/>
      <c r="I60" s="567"/>
      <c r="J60" s="69">
        <v>1.29</v>
      </c>
      <c r="K60" s="109" t="s">
        <v>64</v>
      </c>
      <c r="L60" s="70"/>
      <c r="M60" s="70"/>
      <c r="N60" s="70"/>
      <c r="O60" s="70"/>
      <c r="P60" s="70"/>
      <c r="Q60" s="70"/>
      <c r="R60" s="70"/>
      <c r="S60" s="70"/>
      <c r="T60" s="435">
        <v>23.162790697674417</v>
      </c>
      <c r="U60" s="435">
        <f t="shared" si="2"/>
        <v>29.88</v>
      </c>
      <c r="V60" s="435">
        <v>72.93798449612403</v>
      </c>
      <c r="W60" s="435">
        <f t="shared" si="3"/>
        <v>94.09</v>
      </c>
      <c r="X60" s="436">
        <f t="shared" si="4"/>
        <v>123.97</v>
      </c>
      <c r="Y60" s="455">
        <v>123.97</v>
      </c>
      <c r="Z60" s="455">
        <v>0</v>
      </c>
      <c r="AA60" s="64">
        <f t="shared" si="5"/>
        <v>123.97</v>
      </c>
      <c r="AB60" s="64" t="str">
        <f t="shared" si="6"/>
        <v>OK</v>
      </c>
      <c r="AC60" s="70">
        <f>23.49+0.31</f>
        <v>23.799999999999997</v>
      </c>
      <c r="AD60" s="63"/>
      <c r="AE60" s="70">
        <v>74.95</v>
      </c>
      <c r="AF60" s="79"/>
      <c r="AG60" s="206">
        <f t="shared" si="0"/>
        <v>98.75</v>
      </c>
      <c r="AH60" s="216">
        <v>2.12</v>
      </c>
    </row>
    <row r="61" spans="1:34" s="406" customFormat="1" ht="12.75">
      <c r="A61" s="106" t="s">
        <v>500</v>
      </c>
      <c r="B61" s="107" t="s">
        <v>110</v>
      </c>
      <c r="C61" s="568" t="s">
        <v>316</v>
      </c>
      <c r="D61" s="568"/>
      <c r="E61" s="568"/>
      <c r="F61" s="568"/>
      <c r="G61" s="568"/>
      <c r="H61" s="568"/>
      <c r="I61" s="568"/>
      <c r="J61" s="69">
        <v>1.29</v>
      </c>
      <c r="K61" s="109" t="s">
        <v>64</v>
      </c>
      <c r="L61" s="71"/>
      <c r="M61" s="71"/>
      <c r="N61" s="71"/>
      <c r="O61" s="71"/>
      <c r="P61" s="71"/>
      <c r="Q61" s="71"/>
      <c r="R61" s="71"/>
      <c r="S61" s="71"/>
      <c r="T61" s="435">
        <v>337.1240310077519</v>
      </c>
      <c r="U61" s="435">
        <f t="shared" si="2"/>
        <v>434.89</v>
      </c>
      <c r="V61" s="435">
        <v>13.689922480620154</v>
      </c>
      <c r="W61" s="435">
        <f t="shared" si="3"/>
        <v>17.66</v>
      </c>
      <c r="X61" s="466">
        <f t="shared" si="4"/>
        <v>452.55</v>
      </c>
      <c r="Y61" s="455">
        <v>452.54</v>
      </c>
      <c r="Z61" s="455">
        <v>0</v>
      </c>
      <c r="AA61" s="64">
        <f t="shared" si="5"/>
        <v>452.54</v>
      </c>
      <c r="AB61" s="467">
        <f t="shared" si="6"/>
        <v>0.009999999999990905</v>
      </c>
      <c r="AC61" s="73">
        <f>346.26+0.09+0.04</f>
        <v>346.39</v>
      </c>
      <c r="AD61" s="63"/>
      <c r="AE61" s="73">
        <v>14.06</v>
      </c>
      <c r="AF61" s="79"/>
      <c r="AG61" s="206">
        <f>AE61+AC61</f>
        <v>360.45</v>
      </c>
      <c r="AH61" s="210">
        <v>360.45</v>
      </c>
    </row>
    <row r="62" spans="1:34" s="406" customFormat="1" ht="19.5" customHeight="1">
      <c r="A62" s="106" t="s">
        <v>504</v>
      </c>
      <c r="B62" s="107" t="s">
        <v>234</v>
      </c>
      <c r="C62" s="568" t="s">
        <v>235</v>
      </c>
      <c r="D62" s="568"/>
      <c r="E62" s="568"/>
      <c r="F62" s="568"/>
      <c r="G62" s="568"/>
      <c r="H62" s="568"/>
      <c r="I62" s="568"/>
      <c r="J62" s="109">
        <v>6</v>
      </c>
      <c r="K62" s="76" t="s">
        <v>114</v>
      </c>
      <c r="L62" s="70"/>
      <c r="M62" s="70"/>
      <c r="N62" s="70"/>
      <c r="O62" s="70"/>
      <c r="P62" s="70"/>
      <c r="Q62" s="70"/>
      <c r="R62" s="70"/>
      <c r="S62" s="70"/>
      <c r="T62" s="435">
        <v>508.5</v>
      </c>
      <c r="U62" s="435">
        <f t="shared" si="2"/>
        <v>3051</v>
      </c>
      <c r="V62" s="435">
        <v>105.26833333333333</v>
      </c>
      <c r="W62" s="435">
        <f t="shared" si="3"/>
        <v>631.61</v>
      </c>
      <c r="X62" s="436">
        <f t="shared" si="4"/>
        <v>3682.61</v>
      </c>
      <c r="Y62" s="455">
        <v>3682.61</v>
      </c>
      <c r="Z62" s="455">
        <v>0</v>
      </c>
      <c r="AA62" s="64">
        <f t="shared" si="5"/>
        <v>3682.61</v>
      </c>
      <c r="AB62" s="64" t="str">
        <f t="shared" si="6"/>
        <v>OK</v>
      </c>
      <c r="AC62" s="70">
        <f>522.08+0.4</f>
        <v>522.48</v>
      </c>
      <c r="AD62" s="63"/>
      <c r="AE62" s="70">
        <v>108.16</v>
      </c>
      <c r="AF62" s="79"/>
      <c r="AG62" s="206">
        <f>AE62+AC62</f>
        <v>630.64</v>
      </c>
      <c r="AH62" s="210">
        <v>630.64</v>
      </c>
    </row>
    <row r="63" spans="1:34" s="412" customFormat="1" ht="12.75">
      <c r="A63" s="106" t="s">
        <v>509</v>
      </c>
      <c r="B63" s="113" t="s">
        <v>135</v>
      </c>
      <c r="C63" s="613" t="s">
        <v>467</v>
      </c>
      <c r="D63" s="614"/>
      <c r="E63" s="614"/>
      <c r="F63" s="614"/>
      <c r="G63" s="614"/>
      <c r="H63" s="614"/>
      <c r="I63" s="615"/>
      <c r="J63" s="225">
        <v>16</v>
      </c>
      <c r="K63" s="219" t="s">
        <v>114</v>
      </c>
      <c r="L63" s="221"/>
      <c r="M63" s="221"/>
      <c r="N63" s="221"/>
      <c r="O63" s="221"/>
      <c r="P63" s="221"/>
      <c r="Q63" s="221"/>
      <c r="R63" s="221"/>
      <c r="S63" s="221"/>
      <c r="T63" s="435">
        <v>127.77625</v>
      </c>
      <c r="U63" s="435">
        <f t="shared" si="2"/>
        <v>2044.42</v>
      </c>
      <c r="V63" s="435">
        <v>31.94375</v>
      </c>
      <c r="W63" s="435">
        <f t="shared" si="3"/>
        <v>511.1</v>
      </c>
      <c r="X63" s="436">
        <f t="shared" si="4"/>
        <v>2555.52</v>
      </c>
      <c r="Y63" s="455">
        <v>2555.52</v>
      </c>
      <c r="Z63" s="455">
        <v>0</v>
      </c>
      <c r="AA63" s="64">
        <f t="shared" si="5"/>
        <v>2555.52</v>
      </c>
      <c r="AB63" s="64" t="str">
        <f t="shared" si="6"/>
        <v>OK</v>
      </c>
      <c r="AC63" s="221">
        <f>199.9*0.8</f>
        <v>159.92000000000002</v>
      </c>
      <c r="AD63" s="411"/>
      <c r="AE63" s="221">
        <f>199.9*0.2</f>
        <v>39.980000000000004</v>
      </c>
      <c r="AF63" s="222"/>
      <c r="AG63" s="223">
        <f t="shared" si="0"/>
        <v>199.90000000000003</v>
      </c>
      <c r="AH63" s="224"/>
    </row>
    <row r="64" spans="1:34" s="412" customFormat="1" ht="12.75">
      <c r="A64" s="106" t="s">
        <v>562</v>
      </c>
      <c r="B64" s="113" t="s">
        <v>135</v>
      </c>
      <c r="C64" s="613" t="s">
        <v>468</v>
      </c>
      <c r="D64" s="614"/>
      <c r="E64" s="614"/>
      <c r="F64" s="614"/>
      <c r="G64" s="614"/>
      <c r="H64" s="614"/>
      <c r="I64" s="615"/>
      <c r="J64" s="225">
        <v>12</v>
      </c>
      <c r="K64" s="219" t="s">
        <v>114</v>
      </c>
      <c r="L64" s="221"/>
      <c r="M64" s="221"/>
      <c r="N64" s="221"/>
      <c r="O64" s="221"/>
      <c r="P64" s="221"/>
      <c r="Q64" s="221"/>
      <c r="R64" s="221"/>
      <c r="S64" s="221"/>
      <c r="T64" s="435">
        <v>127.77583333333332</v>
      </c>
      <c r="U64" s="435">
        <f t="shared" si="2"/>
        <v>1533.31</v>
      </c>
      <c r="V64" s="435">
        <v>31.944166666666664</v>
      </c>
      <c r="W64" s="435">
        <f t="shared" si="3"/>
        <v>383.33</v>
      </c>
      <c r="X64" s="436">
        <f t="shared" si="4"/>
        <v>1916.64</v>
      </c>
      <c r="Y64" s="455">
        <v>1916.64</v>
      </c>
      <c r="Z64" s="455">
        <v>0</v>
      </c>
      <c r="AA64" s="64">
        <f t="shared" si="5"/>
        <v>1916.64</v>
      </c>
      <c r="AB64" s="64" t="str">
        <f t="shared" si="6"/>
        <v>OK</v>
      </c>
      <c r="AC64" s="221">
        <f>199.9*0.8</f>
        <v>159.92000000000002</v>
      </c>
      <c r="AD64" s="411"/>
      <c r="AE64" s="221">
        <f>199.9*0.2</f>
        <v>39.980000000000004</v>
      </c>
      <c r="AF64" s="222"/>
      <c r="AG64" s="223">
        <f t="shared" si="0"/>
        <v>199.90000000000003</v>
      </c>
      <c r="AH64" s="224"/>
    </row>
    <row r="65" spans="1:34" s="414" customFormat="1" ht="12.75">
      <c r="A65" s="239" t="s">
        <v>527</v>
      </c>
      <c r="B65" s="240" t="s">
        <v>526</v>
      </c>
      <c r="C65" s="241"/>
      <c r="D65" s="242"/>
      <c r="E65" s="242"/>
      <c r="F65" s="242"/>
      <c r="G65" s="242"/>
      <c r="H65" s="242"/>
      <c r="I65" s="243"/>
      <c r="J65" s="244"/>
      <c r="K65" s="245"/>
      <c r="L65" s="246"/>
      <c r="M65" s="246"/>
      <c r="N65" s="246"/>
      <c r="O65" s="246"/>
      <c r="P65" s="246"/>
      <c r="Q65" s="246"/>
      <c r="R65" s="246"/>
      <c r="S65" s="246"/>
      <c r="T65" s="441"/>
      <c r="U65" s="442">
        <f>SUM(U66:U71)</f>
        <v>103175.69</v>
      </c>
      <c r="V65" s="442"/>
      <c r="W65" s="442">
        <f>SUM(W66:W71)</f>
        <v>21633.69</v>
      </c>
      <c r="X65" s="443">
        <f>SUM(X66:X71)</f>
        <v>124809.37999999999</v>
      </c>
      <c r="Y65" s="457"/>
      <c r="Z65" s="457"/>
      <c r="AA65" s="457"/>
      <c r="AB65" s="413"/>
      <c r="AC65" s="246"/>
      <c r="AD65" s="413"/>
      <c r="AE65" s="246"/>
      <c r="AF65" s="247"/>
      <c r="AG65" s="248"/>
      <c r="AH65" s="249"/>
    </row>
    <row r="66" spans="1:34" s="406" customFormat="1" ht="27" customHeight="1">
      <c r="A66" s="106" t="s">
        <v>528</v>
      </c>
      <c r="B66" s="107" t="s">
        <v>566</v>
      </c>
      <c r="C66" s="568" t="s">
        <v>567</v>
      </c>
      <c r="D66" s="568"/>
      <c r="E66" s="568"/>
      <c r="F66" s="568"/>
      <c r="G66" s="568"/>
      <c r="H66" s="568"/>
      <c r="I66" s="568"/>
      <c r="J66" s="69">
        <v>168</v>
      </c>
      <c r="K66" s="109" t="s">
        <v>65</v>
      </c>
      <c r="L66" s="71"/>
      <c r="M66" s="71"/>
      <c r="N66" s="71"/>
      <c r="O66" s="71"/>
      <c r="P66" s="71"/>
      <c r="Q66" s="71"/>
      <c r="R66" s="71"/>
      <c r="S66" s="71"/>
      <c r="T66" s="435">
        <v>28.55625</v>
      </c>
      <c r="U66" s="435">
        <f aca="true" t="shared" si="7" ref="U66:U71">J66*T66</f>
        <v>4797.45</v>
      </c>
      <c r="V66" s="435">
        <v>9.867678571428572</v>
      </c>
      <c r="W66" s="435">
        <f aca="true" t="shared" si="8" ref="W66:W71">(V66*J66)</f>
        <v>1657.77</v>
      </c>
      <c r="X66" s="436">
        <f aca="true" t="shared" si="9" ref="X66:X71">ROUND(U66+W66,2)</f>
        <v>6455.22</v>
      </c>
      <c r="Y66" s="455">
        <v>6455.22</v>
      </c>
      <c r="Z66" s="455">
        <v>0</v>
      </c>
      <c r="AA66" s="64">
        <f aca="true" t="shared" si="10" ref="AA66:AA71">IF((Y66=Z66),0,(Y66-Z66))</f>
        <v>6455.22</v>
      </c>
      <c r="AB66" s="64" t="str">
        <f aca="true" t="shared" si="11" ref="AB66:AB71">IF((X66=AA66),"OK",(X66-AA66))</f>
        <v>OK</v>
      </c>
      <c r="AC66" s="73">
        <f>21.45+7.89</f>
        <v>29.34</v>
      </c>
      <c r="AD66" s="63"/>
      <c r="AE66" s="73">
        <v>10.14</v>
      </c>
      <c r="AF66" s="79"/>
      <c r="AG66" s="206">
        <f aca="true" t="shared" si="12" ref="AG66:AG71">AE66+AC66</f>
        <v>39.480000000000004</v>
      </c>
      <c r="AH66" s="210">
        <v>39.48</v>
      </c>
    </row>
    <row r="67" spans="1:34" s="406" customFormat="1" ht="12.75">
      <c r="A67" s="106" t="s">
        <v>529</v>
      </c>
      <c r="B67" s="107" t="s">
        <v>542</v>
      </c>
      <c r="C67" s="568" t="s">
        <v>109</v>
      </c>
      <c r="D67" s="568"/>
      <c r="E67" s="568"/>
      <c r="F67" s="568"/>
      <c r="G67" s="568"/>
      <c r="H67" s="568"/>
      <c r="I67" s="568"/>
      <c r="J67" s="69">
        <v>5.04</v>
      </c>
      <c r="K67" s="109" t="s">
        <v>64</v>
      </c>
      <c r="L67" s="71"/>
      <c r="M67" s="71"/>
      <c r="N67" s="71"/>
      <c r="O67" s="71"/>
      <c r="P67" s="71"/>
      <c r="Q67" s="71"/>
      <c r="R67" s="71"/>
      <c r="S67" s="71"/>
      <c r="T67" s="435">
        <v>293.0892857142857</v>
      </c>
      <c r="U67" s="435">
        <f t="shared" si="7"/>
        <v>1477.17</v>
      </c>
      <c r="V67" s="435">
        <v>22.555555555555557</v>
      </c>
      <c r="W67" s="435">
        <f t="shared" si="8"/>
        <v>113.68</v>
      </c>
      <c r="X67" s="436">
        <f>ROUND(U67+W67,2)</f>
        <v>1590.85</v>
      </c>
      <c r="Y67" s="455">
        <v>1590.85</v>
      </c>
      <c r="Z67" s="455">
        <v>0</v>
      </c>
      <c r="AA67" s="64">
        <f t="shared" si="10"/>
        <v>1590.85</v>
      </c>
      <c r="AB67" s="64" t="str">
        <f t="shared" si="11"/>
        <v>OK</v>
      </c>
      <c r="AC67" s="73">
        <f>300.9+0.14+0.11</f>
        <v>301.15</v>
      </c>
      <c r="AD67" s="63"/>
      <c r="AE67" s="73">
        <v>23.18</v>
      </c>
      <c r="AF67" s="79"/>
      <c r="AG67" s="206">
        <f>AE67+AC67</f>
        <v>324.33</v>
      </c>
      <c r="AH67" s="210">
        <v>324.33</v>
      </c>
    </row>
    <row r="68" spans="1:34" s="412" customFormat="1" ht="18.75" customHeight="1">
      <c r="A68" s="106" t="s">
        <v>530</v>
      </c>
      <c r="B68" s="113" t="s">
        <v>216</v>
      </c>
      <c r="C68" s="572" t="s">
        <v>215</v>
      </c>
      <c r="D68" s="573"/>
      <c r="E68" s="573"/>
      <c r="F68" s="573"/>
      <c r="G68" s="573"/>
      <c r="H68" s="573"/>
      <c r="I68" s="574"/>
      <c r="J68" s="225">
        <v>164.64</v>
      </c>
      <c r="K68" s="219" t="s">
        <v>66</v>
      </c>
      <c r="L68" s="221"/>
      <c r="M68" s="221"/>
      <c r="N68" s="221"/>
      <c r="O68" s="221"/>
      <c r="P68" s="221"/>
      <c r="Q68" s="221"/>
      <c r="R68" s="221"/>
      <c r="S68" s="221"/>
      <c r="T68" s="435">
        <v>5.60896501457726</v>
      </c>
      <c r="U68" s="435">
        <f t="shared" si="7"/>
        <v>923.46</v>
      </c>
      <c r="V68" s="435">
        <v>2.5408163265306123</v>
      </c>
      <c r="W68" s="435">
        <f t="shared" si="8"/>
        <v>418.32</v>
      </c>
      <c r="X68" s="436">
        <f t="shared" si="9"/>
        <v>1341.78</v>
      </c>
      <c r="Y68" s="455">
        <v>1341.78</v>
      </c>
      <c r="Z68" s="455">
        <v>0</v>
      </c>
      <c r="AA68" s="64">
        <f t="shared" si="10"/>
        <v>1341.78</v>
      </c>
      <c r="AB68" s="64" t="str">
        <f t="shared" si="11"/>
        <v>OK</v>
      </c>
      <c r="AC68" s="221">
        <v>5.76</v>
      </c>
      <c r="AD68" s="411"/>
      <c r="AE68" s="221">
        <v>2.61</v>
      </c>
      <c r="AF68" s="222"/>
      <c r="AG68" s="223">
        <f t="shared" si="12"/>
        <v>8.37</v>
      </c>
      <c r="AH68" s="224">
        <v>8.37</v>
      </c>
    </row>
    <row r="69" spans="1:34" s="406" customFormat="1" ht="17.25" customHeight="1">
      <c r="A69" s="106" t="s">
        <v>531</v>
      </c>
      <c r="B69" s="107" t="s">
        <v>320</v>
      </c>
      <c r="C69" s="569" t="s">
        <v>318</v>
      </c>
      <c r="D69" s="570"/>
      <c r="E69" s="570"/>
      <c r="F69" s="570"/>
      <c r="G69" s="570"/>
      <c r="H69" s="570"/>
      <c r="I69" s="571"/>
      <c r="J69" s="69">
        <v>103.48</v>
      </c>
      <c r="K69" s="109" t="s">
        <v>66</v>
      </c>
      <c r="L69" s="71"/>
      <c r="M69" s="71"/>
      <c r="N69" s="71"/>
      <c r="O69" s="71"/>
      <c r="P69" s="71"/>
      <c r="Q69" s="71"/>
      <c r="R69" s="71"/>
      <c r="S69" s="71"/>
      <c r="T69" s="435">
        <v>5.656938538848086</v>
      </c>
      <c r="U69" s="435">
        <f t="shared" si="7"/>
        <v>585.38</v>
      </c>
      <c r="V69" s="435">
        <v>3.6594511016621567</v>
      </c>
      <c r="W69" s="435">
        <f t="shared" si="8"/>
        <v>378.68</v>
      </c>
      <c r="X69" s="466">
        <f t="shared" si="9"/>
        <v>964.06</v>
      </c>
      <c r="Y69" s="455">
        <v>964.05</v>
      </c>
      <c r="Z69" s="455">
        <v>0</v>
      </c>
      <c r="AA69" s="64">
        <f t="shared" si="10"/>
        <v>964.05</v>
      </c>
      <c r="AB69" s="467">
        <f t="shared" si="11"/>
        <v>0.009999999999990905</v>
      </c>
      <c r="AC69" s="73">
        <v>5.81</v>
      </c>
      <c r="AD69" s="63"/>
      <c r="AE69" s="73">
        <v>3.76</v>
      </c>
      <c r="AF69" s="79"/>
      <c r="AG69" s="206">
        <f t="shared" si="12"/>
        <v>9.57</v>
      </c>
      <c r="AH69" s="210">
        <v>9.57</v>
      </c>
    </row>
    <row r="70" spans="1:34" s="412" customFormat="1" ht="12.75">
      <c r="A70" s="106" t="s">
        <v>534</v>
      </c>
      <c r="B70" s="113" t="s">
        <v>112</v>
      </c>
      <c r="C70" s="613" t="s">
        <v>111</v>
      </c>
      <c r="D70" s="614"/>
      <c r="E70" s="614"/>
      <c r="F70" s="614"/>
      <c r="G70" s="614"/>
      <c r="H70" s="614"/>
      <c r="I70" s="615"/>
      <c r="J70" s="225">
        <v>100.8</v>
      </c>
      <c r="K70" s="219" t="s">
        <v>63</v>
      </c>
      <c r="L70" s="221"/>
      <c r="M70" s="221"/>
      <c r="N70" s="221"/>
      <c r="O70" s="221"/>
      <c r="P70" s="221"/>
      <c r="Q70" s="221"/>
      <c r="R70" s="221"/>
      <c r="S70" s="221"/>
      <c r="T70" s="435">
        <v>34.13323412698413</v>
      </c>
      <c r="U70" s="435">
        <f t="shared" si="7"/>
        <v>3440.63</v>
      </c>
      <c r="V70" s="435">
        <v>23.107043650793653</v>
      </c>
      <c r="W70" s="435">
        <f t="shared" si="8"/>
        <v>2329.19</v>
      </c>
      <c r="X70" s="466">
        <f t="shared" si="9"/>
        <v>5769.82</v>
      </c>
      <c r="Y70" s="455">
        <v>5769.83</v>
      </c>
      <c r="Z70" s="455">
        <v>0</v>
      </c>
      <c r="AA70" s="64">
        <f t="shared" si="10"/>
        <v>5769.83</v>
      </c>
      <c r="AB70" s="467">
        <f t="shared" si="11"/>
        <v>-0.010000000000218279</v>
      </c>
      <c r="AC70" s="221">
        <f>34.94+0.03+0.1</f>
        <v>35.07</v>
      </c>
      <c r="AD70" s="411"/>
      <c r="AE70" s="221">
        <v>23.74</v>
      </c>
      <c r="AF70" s="222"/>
      <c r="AG70" s="223">
        <f t="shared" si="12"/>
        <v>58.81</v>
      </c>
      <c r="AH70" s="224">
        <v>58.81</v>
      </c>
    </row>
    <row r="71" spans="1:34" s="412" customFormat="1" ht="28.5" customHeight="1">
      <c r="A71" s="106" t="s">
        <v>535</v>
      </c>
      <c r="B71" s="113" t="s">
        <v>532</v>
      </c>
      <c r="C71" s="572" t="s">
        <v>533</v>
      </c>
      <c r="D71" s="573"/>
      <c r="E71" s="573"/>
      <c r="F71" s="573"/>
      <c r="G71" s="573"/>
      <c r="H71" s="573"/>
      <c r="I71" s="574"/>
      <c r="J71" s="225">
        <v>1008</v>
      </c>
      <c r="K71" s="219" t="s">
        <v>63</v>
      </c>
      <c r="L71" s="221"/>
      <c r="M71" s="221"/>
      <c r="N71" s="221"/>
      <c r="O71" s="221"/>
      <c r="P71" s="221"/>
      <c r="Q71" s="221"/>
      <c r="R71" s="221"/>
      <c r="S71" s="221"/>
      <c r="T71" s="435">
        <v>91.22182539682541</v>
      </c>
      <c r="U71" s="435">
        <f t="shared" si="7"/>
        <v>91951.6</v>
      </c>
      <c r="V71" s="435">
        <v>16.603224206349207</v>
      </c>
      <c r="W71" s="435">
        <f t="shared" si="8"/>
        <v>16736.05</v>
      </c>
      <c r="X71" s="436">
        <f t="shared" si="9"/>
        <v>108687.65</v>
      </c>
      <c r="Y71" s="455">
        <v>108687.65</v>
      </c>
      <c r="Z71" s="455">
        <v>0</v>
      </c>
      <c r="AA71" s="64">
        <f t="shared" si="10"/>
        <v>108687.65</v>
      </c>
      <c r="AB71" s="64" t="str">
        <f t="shared" si="11"/>
        <v>OK</v>
      </c>
      <c r="AC71" s="221">
        <f>93.66+0.07</f>
        <v>93.72999999999999</v>
      </c>
      <c r="AD71" s="411"/>
      <c r="AE71" s="221">
        <v>17.06</v>
      </c>
      <c r="AF71" s="222"/>
      <c r="AG71" s="223">
        <f t="shared" si="12"/>
        <v>110.78999999999999</v>
      </c>
      <c r="AH71" s="224">
        <v>110.79</v>
      </c>
    </row>
    <row r="72" spans="1:34" s="407" customFormat="1" ht="11.25" customHeight="1">
      <c r="A72" s="123">
        <v>5</v>
      </c>
      <c r="B72" s="575" t="s">
        <v>390</v>
      </c>
      <c r="C72" s="575"/>
      <c r="D72" s="575"/>
      <c r="E72" s="575"/>
      <c r="F72" s="575"/>
      <c r="G72" s="575"/>
      <c r="H72" s="575"/>
      <c r="I72" s="575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437"/>
      <c r="U72" s="433">
        <f>SUM(U73:U75)</f>
        <v>10020.09</v>
      </c>
      <c r="V72" s="437"/>
      <c r="W72" s="433">
        <f>SUM(W73:W75)</f>
        <v>2505.03</v>
      </c>
      <c r="X72" s="434">
        <f>U72+W72</f>
        <v>12525.12</v>
      </c>
      <c r="Y72" s="454"/>
      <c r="Z72" s="454"/>
      <c r="AA72" s="454"/>
      <c r="AB72" s="408"/>
      <c r="AC72" s="207" t="s">
        <v>395</v>
      </c>
      <c r="AD72" s="115"/>
      <c r="AE72" s="207" t="s">
        <v>396</v>
      </c>
      <c r="AF72" s="114"/>
      <c r="AG72" s="205" t="s">
        <v>486</v>
      </c>
      <c r="AH72" s="209" t="s">
        <v>492</v>
      </c>
    </row>
    <row r="73" spans="1:34" s="412" customFormat="1" ht="12.75">
      <c r="A73" s="218" t="s">
        <v>122</v>
      </c>
      <c r="B73" s="113" t="s">
        <v>135</v>
      </c>
      <c r="C73" s="636" t="s">
        <v>476</v>
      </c>
      <c r="D73" s="636"/>
      <c r="E73" s="636"/>
      <c r="F73" s="636"/>
      <c r="G73" s="636"/>
      <c r="H73" s="636"/>
      <c r="I73" s="636"/>
      <c r="J73" s="219">
        <v>8</v>
      </c>
      <c r="K73" s="220" t="s">
        <v>114</v>
      </c>
      <c r="L73" s="221"/>
      <c r="M73" s="221"/>
      <c r="N73" s="221"/>
      <c r="O73" s="221"/>
      <c r="P73" s="221"/>
      <c r="Q73" s="221"/>
      <c r="R73" s="221"/>
      <c r="S73" s="221"/>
      <c r="T73" s="435">
        <v>185.3675</v>
      </c>
      <c r="U73" s="435">
        <f>J73*T73</f>
        <v>1482.94</v>
      </c>
      <c r="V73" s="435">
        <v>46.3425</v>
      </c>
      <c r="W73" s="435">
        <f>(V73*J73)</f>
        <v>370.74</v>
      </c>
      <c r="X73" s="436">
        <f>ROUND(U73+W73,2)</f>
        <v>1853.68</v>
      </c>
      <c r="Y73" s="455">
        <v>1853.68</v>
      </c>
      <c r="Z73" s="455">
        <v>0</v>
      </c>
      <c r="AA73" s="64">
        <f>IF((Y73=Z73),0,(Y73-Z73))</f>
        <v>1853.68</v>
      </c>
      <c r="AB73" s="64" t="str">
        <f>IF((X73=AA73),"OK",(X73-AA73))</f>
        <v>OK</v>
      </c>
      <c r="AC73" s="235">
        <f>290*0.8</f>
        <v>232</v>
      </c>
      <c r="AD73" s="411"/>
      <c r="AE73" s="235">
        <f>290*0.2</f>
        <v>58</v>
      </c>
      <c r="AF73" s="222"/>
      <c r="AG73" s="223">
        <f>AE73+AC73</f>
        <v>290</v>
      </c>
      <c r="AH73" s="224"/>
    </row>
    <row r="74" spans="1:34" s="412" customFormat="1" ht="12.75">
      <c r="A74" s="218" t="s">
        <v>334</v>
      </c>
      <c r="B74" s="113" t="s">
        <v>135</v>
      </c>
      <c r="C74" s="636" t="s">
        <v>475</v>
      </c>
      <c r="D74" s="636"/>
      <c r="E74" s="636"/>
      <c r="F74" s="636"/>
      <c r="G74" s="636"/>
      <c r="H74" s="636"/>
      <c r="I74" s="636"/>
      <c r="J74" s="219">
        <v>12</v>
      </c>
      <c r="K74" s="220" t="s">
        <v>114</v>
      </c>
      <c r="L74" s="221"/>
      <c r="M74" s="221"/>
      <c r="N74" s="221"/>
      <c r="O74" s="221"/>
      <c r="P74" s="221"/>
      <c r="Q74" s="221"/>
      <c r="R74" s="221"/>
      <c r="S74" s="221"/>
      <c r="T74" s="435">
        <v>241.61749999999998</v>
      </c>
      <c r="U74" s="435">
        <f>J74*T74</f>
        <v>2899.41</v>
      </c>
      <c r="V74" s="435">
        <v>60.40416666666667</v>
      </c>
      <c r="W74" s="435">
        <f>(V74*J74)</f>
        <v>724.85</v>
      </c>
      <c r="X74" s="436">
        <f>ROUND(U74+W74,2)</f>
        <v>3624.26</v>
      </c>
      <c r="Y74" s="455">
        <v>3624.26</v>
      </c>
      <c r="Z74" s="455">
        <v>0</v>
      </c>
      <c r="AA74" s="64">
        <f>IF((Y74=Z74),0,(Y74-Z74))</f>
        <v>3624.26</v>
      </c>
      <c r="AB74" s="64" t="str">
        <f>IF((X74=AA74),"OK",(X74-AA74))</f>
        <v>OK</v>
      </c>
      <c r="AC74" s="235">
        <f>378*0.8</f>
        <v>302.40000000000003</v>
      </c>
      <c r="AD74" s="411"/>
      <c r="AE74" s="235">
        <f>378*0.2</f>
        <v>75.60000000000001</v>
      </c>
      <c r="AF74" s="222"/>
      <c r="AG74" s="223">
        <f t="shared" si="0"/>
        <v>378.00000000000006</v>
      </c>
      <c r="AH74" s="224"/>
    </row>
    <row r="75" spans="1:34" s="412" customFormat="1" ht="12.75" customHeight="1">
      <c r="A75" s="218" t="s">
        <v>333</v>
      </c>
      <c r="B75" s="113" t="s">
        <v>135</v>
      </c>
      <c r="C75" s="636" t="s">
        <v>477</v>
      </c>
      <c r="D75" s="636"/>
      <c r="E75" s="636"/>
      <c r="F75" s="636"/>
      <c r="G75" s="636"/>
      <c r="H75" s="636"/>
      <c r="I75" s="636"/>
      <c r="J75" s="219">
        <v>7</v>
      </c>
      <c r="K75" s="220" t="s">
        <v>114</v>
      </c>
      <c r="L75" s="221"/>
      <c r="M75" s="221"/>
      <c r="N75" s="221"/>
      <c r="O75" s="221"/>
      <c r="P75" s="221"/>
      <c r="Q75" s="221"/>
      <c r="R75" s="221"/>
      <c r="S75" s="221"/>
      <c r="T75" s="435">
        <v>805.3914285714285</v>
      </c>
      <c r="U75" s="435">
        <f>J75*T75</f>
        <v>5637.74</v>
      </c>
      <c r="V75" s="435">
        <v>201.34857142857143</v>
      </c>
      <c r="W75" s="435">
        <f>(V75*J75)</f>
        <v>1409.44</v>
      </c>
      <c r="X75" s="436">
        <f>ROUND(U75+W75,2)</f>
        <v>7047.18</v>
      </c>
      <c r="Y75" s="455">
        <v>7047.18</v>
      </c>
      <c r="Z75" s="455">
        <v>0</v>
      </c>
      <c r="AA75" s="64">
        <f>IF((Y75=Z75),0,(Y75-Z75))</f>
        <v>7047.18</v>
      </c>
      <c r="AB75" s="64" t="str">
        <f>IF((X75=AA75),"OK",(X75-AA75))</f>
        <v>OK</v>
      </c>
      <c r="AC75" s="235">
        <f>1260*0.8</f>
        <v>1008</v>
      </c>
      <c r="AD75" s="411"/>
      <c r="AE75" s="235">
        <f>1260*0.2</f>
        <v>252</v>
      </c>
      <c r="AF75" s="222"/>
      <c r="AG75" s="223">
        <f t="shared" si="0"/>
        <v>1260</v>
      </c>
      <c r="AH75" s="224"/>
    </row>
    <row r="76" spans="1:34" s="407" customFormat="1" ht="11.25" customHeight="1">
      <c r="A76" s="123">
        <v>6</v>
      </c>
      <c r="B76" s="575" t="s">
        <v>315</v>
      </c>
      <c r="C76" s="575"/>
      <c r="D76" s="575"/>
      <c r="E76" s="575"/>
      <c r="F76" s="575"/>
      <c r="G76" s="575"/>
      <c r="H76" s="575"/>
      <c r="I76" s="575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437"/>
      <c r="U76" s="433">
        <f>SUM(U77:U82)</f>
        <v>3057.5299999999997</v>
      </c>
      <c r="V76" s="437"/>
      <c r="W76" s="433">
        <f>SUM(W77:W82)</f>
        <v>866.6300000000001</v>
      </c>
      <c r="X76" s="434">
        <f>U76+W76</f>
        <v>3924.16</v>
      </c>
      <c r="Y76" s="454"/>
      <c r="Z76" s="454"/>
      <c r="AA76" s="454"/>
      <c r="AB76" s="408"/>
      <c r="AC76" s="207" t="s">
        <v>395</v>
      </c>
      <c r="AD76" s="115"/>
      <c r="AE76" s="207" t="s">
        <v>396</v>
      </c>
      <c r="AF76" s="114"/>
      <c r="AG76" s="205" t="s">
        <v>486</v>
      </c>
      <c r="AH76" s="209" t="s">
        <v>492</v>
      </c>
    </row>
    <row r="77" spans="1:34" s="412" customFormat="1" ht="15" customHeight="1">
      <c r="A77" s="218" t="s">
        <v>335</v>
      </c>
      <c r="B77" s="113" t="s">
        <v>520</v>
      </c>
      <c r="C77" s="569" t="s">
        <v>521</v>
      </c>
      <c r="D77" s="570"/>
      <c r="E77" s="570"/>
      <c r="F77" s="570"/>
      <c r="G77" s="570"/>
      <c r="H77" s="570"/>
      <c r="I77" s="571"/>
      <c r="J77" s="219">
        <f>11*2.4+10.75*2</f>
        <v>47.9</v>
      </c>
      <c r="K77" s="76" t="s">
        <v>65</v>
      </c>
      <c r="L77" s="221"/>
      <c r="M77" s="221"/>
      <c r="N77" s="221"/>
      <c r="O77" s="221"/>
      <c r="P77" s="221"/>
      <c r="Q77" s="221"/>
      <c r="R77" s="221"/>
      <c r="S77" s="221"/>
      <c r="T77" s="435">
        <v>38.176200417536535</v>
      </c>
      <c r="U77" s="435">
        <f aca="true" t="shared" si="13" ref="U77:U82">J77*T77</f>
        <v>1828.6399999999999</v>
      </c>
      <c r="V77" s="435">
        <v>9.54008350730689</v>
      </c>
      <c r="W77" s="435">
        <f aca="true" t="shared" si="14" ref="W77:W82">(V77*J77)</f>
        <v>456.9700000000001</v>
      </c>
      <c r="X77" s="436">
        <f aca="true" t="shared" si="15" ref="X77:X82">ROUND(U77+W77,2)</f>
        <v>2285.61</v>
      </c>
      <c r="Y77" s="455">
        <v>2285.61</v>
      </c>
      <c r="Z77" s="455">
        <v>0</v>
      </c>
      <c r="AA77" s="64">
        <f aca="true" t="shared" si="16" ref="AA77:AA82">IF((Y77=Z77),0,(Y77-Z77))</f>
        <v>2285.61</v>
      </c>
      <c r="AB77" s="64" t="str">
        <f aca="true" t="shared" si="17" ref="AB77:AB82">IF((X77=AA77),"OK",(X77-AA77))</f>
        <v>OK</v>
      </c>
      <c r="AC77" s="235">
        <f>49.03*0.8</f>
        <v>39.224000000000004</v>
      </c>
      <c r="AD77" s="411"/>
      <c r="AE77" s="235">
        <f>49.03*0.2</f>
        <v>9.806000000000001</v>
      </c>
      <c r="AF77" s="222"/>
      <c r="AG77" s="223">
        <f t="shared" si="0"/>
        <v>49.03</v>
      </c>
      <c r="AH77" s="224"/>
    </row>
    <row r="78" spans="1:34" s="406" customFormat="1" ht="16.5" customHeight="1">
      <c r="A78" s="106" t="s">
        <v>336</v>
      </c>
      <c r="B78" s="107" t="s">
        <v>471</v>
      </c>
      <c r="C78" s="569" t="s">
        <v>473</v>
      </c>
      <c r="D78" s="570"/>
      <c r="E78" s="570"/>
      <c r="F78" s="570"/>
      <c r="G78" s="570"/>
      <c r="H78" s="570"/>
      <c r="I78" s="571"/>
      <c r="J78" s="201">
        <v>10.5</v>
      </c>
      <c r="K78" s="76" t="s">
        <v>65</v>
      </c>
      <c r="L78" s="70"/>
      <c r="M78" s="70"/>
      <c r="N78" s="70"/>
      <c r="O78" s="70"/>
      <c r="P78" s="70"/>
      <c r="Q78" s="70"/>
      <c r="R78" s="70"/>
      <c r="S78" s="70"/>
      <c r="T78" s="435">
        <v>117.03714285714287</v>
      </c>
      <c r="U78" s="435">
        <f t="shared" si="13"/>
        <v>1228.89</v>
      </c>
      <c r="V78" s="435">
        <v>39.0152380952381</v>
      </c>
      <c r="W78" s="435">
        <f t="shared" si="14"/>
        <v>409.66</v>
      </c>
      <c r="X78" s="436">
        <f t="shared" si="15"/>
        <v>1638.55</v>
      </c>
      <c r="Y78" s="455">
        <v>1638.55</v>
      </c>
      <c r="Z78" s="455">
        <v>0</v>
      </c>
      <c r="AA78" s="64">
        <f t="shared" si="16"/>
        <v>1638.55</v>
      </c>
      <c r="AB78" s="64" t="str">
        <f t="shared" si="17"/>
        <v>OK</v>
      </c>
      <c r="AC78" s="72">
        <f>0.75*80.17*2</f>
        <v>120.255</v>
      </c>
      <c r="AD78" s="63"/>
      <c r="AE78" s="72">
        <f>0.25*80.17*2</f>
        <v>40.085</v>
      </c>
      <c r="AF78" s="79"/>
      <c r="AG78" s="206">
        <f t="shared" si="0"/>
        <v>160.34</v>
      </c>
      <c r="AH78" s="210">
        <v>160.34</v>
      </c>
    </row>
    <row r="79" spans="1:34" s="406" customFormat="1" ht="12.75">
      <c r="A79" s="106" t="s">
        <v>337</v>
      </c>
      <c r="B79" s="107" t="s">
        <v>542</v>
      </c>
      <c r="C79" s="568" t="s">
        <v>536</v>
      </c>
      <c r="D79" s="568"/>
      <c r="E79" s="568"/>
      <c r="F79" s="568"/>
      <c r="G79" s="568"/>
      <c r="H79" s="568"/>
      <c r="I79" s="568"/>
      <c r="J79" s="69">
        <v>0</v>
      </c>
      <c r="K79" s="109" t="s">
        <v>64</v>
      </c>
      <c r="L79" s="71"/>
      <c r="M79" s="71"/>
      <c r="N79" s="71"/>
      <c r="O79" s="71"/>
      <c r="P79" s="71"/>
      <c r="Q79" s="71"/>
      <c r="R79" s="71"/>
      <c r="S79" s="71"/>
      <c r="T79" s="435">
        <v>293.08764940239047</v>
      </c>
      <c r="U79" s="435">
        <f t="shared" si="13"/>
        <v>0</v>
      </c>
      <c r="V79" s="465">
        <v>22.55378486055777</v>
      </c>
      <c r="W79" s="435">
        <f t="shared" si="14"/>
        <v>0</v>
      </c>
      <c r="X79" s="466">
        <f>ROUND(U79+W79,2)</f>
        <v>0</v>
      </c>
      <c r="Y79" s="455">
        <v>792.27</v>
      </c>
      <c r="Z79" s="455">
        <v>792.27</v>
      </c>
      <c r="AA79" s="64">
        <f t="shared" si="16"/>
        <v>0</v>
      </c>
      <c r="AB79" s="64" t="str">
        <f t="shared" si="17"/>
        <v>OK</v>
      </c>
      <c r="AC79" s="73">
        <f>300.9+0.14+0.11</f>
        <v>301.15</v>
      </c>
      <c r="AD79" s="63"/>
      <c r="AE79" s="73">
        <v>23.18</v>
      </c>
      <c r="AF79" s="79"/>
      <c r="AG79" s="206">
        <f t="shared" si="0"/>
        <v>324.33</v>
      </c>
      <c r="AH79" s="210">
        <v>324.33</v>
      </c>
    </row>
    <row r="80" spans="1:34" s="406" customFormat="1" ht="17.25" customHeight="1">
      <c r="A80" s="106" t="s">
        <v>338</v>
      </c>
      <c r="B80" s="107" t="s">
        <v>320</v>
      </c>
      <c r="C80" s="569" t="s">
        <v>318</v>
      </c>
      <c r="D80" s="570"/>
      <c r="E80" s="570"/>
      <c r="F80" s="570"/>
      <c r="G80" s="570"/>
      <c r="H80" s="570"/>
      <c r="I80" s="571"/>
      <c r="J80" s="69">
        <v>0</v>
      </c>
      <c r="K80" s="109" t="s">
        <v>66</v>
      </c>
      <c r="L80" s="71"/>
      <c r="M80" s="71"/>
      <c r="N80" s="71"/>
      <c r="O80" s="71"/>
      <c r="P80" s="71"/>
      <c r="Q80" s="71"/>
      <c r="R80" s="71"/>
      <c r="S80" s="71"/>
      <c r="T80" s="435">
        <v>5.656455142231947</v>
      </c>
      <c r="U80" s="435">
        <f t="shared" si="13"/>
        <v>0</v>
      </c>
      <c r="V80" s="435">
        <v>3.6597374179431075</v>
      </c>
      <c r="W80" s="435">
        <f t="shared" si="14"/>
        <v>0</v>
      </c>
      <c r="X80" s="436">
        <f t="shared" si="15"/>
        <v>0</v>
      </c>
      <c r="Y80" s="455">
        <v>85.15</v>
      </c>
      <c r="Z80" s="455">
        <v>85.15</v>
      </c>
      <c r="AA80" s="64">
        <f t="shared" si="16"/>
        <v>0</v>
      </c>
      <c r="AB80" s="64" t="str">
        <f t="shared" si="17"/>
        <v>OK</v>
      </c>
      <c r="AC80" s="73">
        <v>5.81</v>
      </c>
      <c r="AD80" s="63"/>
      <c r="AE80" s="73">
        <v>3.76</v>
      </c>
      <c r="AF80" s="79"/>
      <c r="AG80" s="206">
        <f t="shared" si="0"/>
        <v>9.57</v>
      </c>
      <c r="AH80" s="210">
        <v>9.57</v>
      </c>
    </row>
    <row r="81" spans="1:34" s="406" customFormat="1" ht="19.5" customHeight="1">
      <c r="A81" s="106" t="s">
        <v>339</v>
      </c>
      <c r="B81" s="107" t="s">
        <v>319</v>
      </c>
      <c r="C81" s="569" t="s">
        <v>317</v>
      </c>
      <c r="D81" s="570"/>
      <c r="E81" s="570"/>
      <c r="F81" s="570"/>
      <c r="G81" s="570"/>
      <c r="H81" s="570"/>
      <c r="I81" s="571"/>
      <c r="J81" s="109">
        <v>0</v>
      </c>
      <c r="K81" s="76" t="s">
        <v>66</v>
      </c>
      <c r="L81" s="70"/>
      <c r="M81" s="70"/>
      <c r="N81" s="70"/>
      <c r="O81" s="70"/>
      <c r="P81" s="70"/>
      <c r="Q81" s="70"/>
      <c r="R81" s="70"/>
      <c r="S81" s="70"/>
      <c r="T81" s="435">
        <v>6.144508670520231</v>
      </c>
      <c r="U81" s="435">
        <f t="shared" si="13"/>
        <v>0</v>
      </c>
      <c r="V81" s="435">
        <v>1.75</v>
      </c>
      <c r="W81" s="435">
        <f t="shared" si="14"/>
        <v>0</v>
      </c>
      <c r="X81" s="436">
        <f t="shared" si="15"/>
        <v>0</v>
      </c>
      <c r="Y81" s="455">
        <v>54.63</v>
      </c>
      <c r="Z81" s="455">
        <v>54.63</v>
      </c>
      <c r="AA81" s="64">
        <f t="shared" si="16"/>
        <v>0</v>
      </c>
      <c r="AB81" s="64" t="str">
        <f t="shared" si="17"/>
        <v>OK</v>
      </c>
      <c r="AC81" s="72">
        <v>6.31</v>
      </c>
      <c r="AD81" s="63"/>
      <c r="AE81" s="72">
        <v>1.8</v>
      </c>
      <c r="AF81" s="79"/>
      <c r="AG81" s="206">
        <f t="shared" si="0"/>
        <v>8.11</v>
      </c>
      <c r="AH81" s="210">
        <v>8.11</v>
      </c>
    </row>
    <row r="82" spans="1:34" s="406" customFormat="1" ht="19.5" customHeight="1">
      <c r="A82" s="106" t="s">
        <v>472</v>
      </c>
      <c r="B82" s="107" t="s">
        <v>322</v>
      </c>
      <c r="C82" s="569" t="s">
        <v>321</v>
      </c>
      <c r="D82" s="570"/>
      <c r="E82" s="570"/>
      <c r="F82" s="570"/>
      <c r="G82" s="570"/>
      <c r="H82" s="570"/>
      <c r="I82" s="571"/>
      <c r="J82" s="109">
        <v>0</v>
      </c>
      <c r="K82" s="76" t="s">
        <v>66</v>
      </c>
      <c r="L82" s="70"/>
      <c r="M82" s="70"/>
      <c r="N82" s="70"/>
      <c r="O82" s="70"/>
      <c r="P82" s="70"/>
      <c r="Q82" s="70"/>
      <c r="R82" s="70"/>
      <c r="S82" s="70"/>
      <c r="T82" s="435">
        <v>5.193408968125337</v>
      </c>
      <c r="U82" s="435">
        <f t="shared" si="13"/>
        <v>0</v>
      </c>
      <c r="V82" s="435">
        <v>1.2385197190707724</v>
      </c>
      <c r="W82" s="435">
        <f t="shared" si="14"/>
        <v>0</v>
      </c>
      <c r="X82" s="436">
        <f t="shared" si="15"/>
        <v>0</v>
      </c>
      <c r="Y82" s="455">
        <v>238.11</v>
      </c>
      <c r="Z82" s="455">
        <v>238.11</v>
      </c>
      <c r="AA82" s="64">
        <f t="shared" si="16"/>
        <v>0</v>
      </c>
      <c r="AB82" s="64" t="str">
        <f t="shared" si="17"/>
        <v>OK</v>
      </c>
      <c r="AC82" s="72">
        <v>5.34</v>
      </c>
      <c r="AD82" s="63"/>
      <c r="AE82" s="72">
        <v>1.27</v>
      </c>
      <c r="AF82" s="79"/>
      <c r="AG82" s="206">
        <f t="shared" si="0"/>
        <v>6.609999999999999</v>
      </c>
      <c r="AH82" s="210">
        <v>6.61</v>
      </c>
    </row>
    <row r="83" spans="1:34" s="407" customFormat="1" ht="12.75">
      <c r="A83" s="123">
        <v>7</v>
      </c>
      <c r="B83" s="575" t="s">
        <v>130</v>
      </c>
      <c r="C83" s="575"/>
      <c r="D83" s="575"/>
      <c r="E83" s="575"/>
      <c r="F83" s="575"/>
      <c r="G83" s="575"/>
      <c r="H83" s="575"/>
      <c r="I83" s="575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437"/>
      <c r="U83" s="433">
        <f>SUM(U84:U109)</f>
        <v>44900.909999999996</v>
      </c>
      <c r="V83" s="437"/>
      <c r="W83" s="433">
        <f>SUM(W84:W109)</f>
        <v>9981.6</v>
      </c>
      <c r="X83" s="434">
        <f>U83+W83</f>
        <v>54882.509999999995</v>
      </c>
      <c r="Y83" s="454"/>
      <c r="Z83" s="454"/>
      <c r="AA83" s="454"/>
      <c r="AB83" s="408"/>
      <c r="AC83" s="207" t="s">
        <v>395</v>
      </c>
      <c r="AD83" s="115"/>
      <c r="AE83" s="207" t="s">
        <v>396</v>
      </c>
      <c r="AF83" s="114"/>
      <c r="AG83" s="205" t="s">
        <v>486</v>
      </c>
      <c r="AH83" s="209" t="s">
        <v>492</v>
      </c>
    </row>
    <row r="84" spans="1:34" s="406" customFormat="1" ht="19.5" customHeight="1">
      <c r="A84" s="106" t="s">
        <v>340</v>
      </c>
      <c r="B84" s="107" t="s">
        <v>132</v>
      </c>
      <c r="C84" s="568" t="s">
        <v>131</v>
      </c>
      <c r="D84" s="568"/>
      <c r="E84" s="568"/>
      <c r="F84" s="568"/>
      <c r="G84" s="568"/>
      <c r="H84" s="568"/>
      <c r="I84" s="568"/>
      <c r="J84" s="109">
        <v>12</v>
      </c>
      <c r="K84" s="76" t="s">
        <v>114</v>
      </c>
      <c r="L84" s="70"/>
      <c r="M84" s="70"/>
      <c r="N84" s="70"/>
      <c r="O84" s="70"/>
      <c r="P84" s="70"/>
      <c r="Q84" s="70"/>
      <c r="R84" s="70"/>
      <c r="S84" s="70"/>
      <c r="T84" s="435">
        <v>1308.8500000000001</v>
      </c>
      <c r="U84" s="435">
        <f aca="true" t="shared" si="18" ref="U84:U92">J84*T84</f>
        <v>15706.2</v>
      </c>
      <c r="V84" s="435">
        <v>92.10833333333333</v>
      </c>
      <c r="W84" s="435">
        <f aca="true" t="shared" si="19" ref="W84:W109">(V84*J84)</f>
        <v>1105.3</v>
      </c>
      <c r="X84" s="436">
        <f>ROUND(U84+W84,2)</f>
        <v>16811.5</v>
      </c>
      <c r="Y84" s="455">
        <v>16811.5</v>
      </c>
      <c r="Z84" s="455">
        <v>0</v>
      </c>
      <c r="AA84" s="64">
        <f aca="true" t="shared" si="20" ref="AA84:AA109">IF((Y84=Z84),0,(Y84-Z84))</f>
        <v>16811.5</v>
      </c>
      <c r="AB84" s="64" t="str">
        <f aca="true" t="shared" si="21" ref="AB84:AB109">IF((X84=AA84),"OK",(X84-AA84))</f>
        <v>OK</v>
      </c>
      <c r="AC84" s="70">
        <f>1344.49+0.35</f>
        <v>1344.84</v>
      </c>
      <c r="AD84" s="63"/>
      <c r="AE84" s="70">
        <v>94.64</v>
      </c>
      <c r="AF84" s="79"/>
      <c r="AG84" s="206">
        <f t="shared" si="0"/>
        <v>1439.48</v>
      </c>
      <c r="AH84" s="216">
        <v>1439.48</v>
      </c>
    </row>
    <row r="85" spans="1:34" s="406" customFormat="1" ht="19.5" customHeight="1">
      <c r="A85" s="106" t="s">
        <v>341</v>
      </c>
      <c r="B85" s="107" t="s">
        <v>234</v>
      </c>
      <c r="C85" s="568" t="s">
        <v>235</v>
      </c>
      <c r="D85" s="568"/>
      <c r="E85" s="568"/>
      <c r="F85" s="568"/>
      <c r="G85" s="568"/>
      <c r="H85" s="568"/>
      <c r="I85" s="568"/>
      <c r="J85" s="109">
        <v>12</v>
      </c>
      <c r="K85" s="76" t="s">
        <v>114</v>
      </c>
      <c r="L85" s="70"/>
      <c r="M85" s="70"/>
      <c r="N85" s="70"/>
      <c r="O85" s="70"/>
      <c r="P85" s="70"/>
      <c r="Q85" s="70"/>
      <c r="R85" s="70"/>
      <c r="S85" s="70"/>
      <c r="T85" s="435">
        <v>508.49916666666667</v>
      </c>
      <c r="U85" s="435">
        <f t="shared" si="18"/>
        <v>6101.99</v>
      </c>
      <c r="V85" s="435">
        <v>105.26833333333333</v>
      </c>
      <c r="W85" s="435">
        <f t="shared" si="19"/>
        <v>1263.22</v>
      </c>
      <c r="X85" s="436">
        <f aca="true" t="shared" si="22" ref="X85:X109">ROUND(U85+W85,2)</f>
        <v>7365.21</v>
      </c>
      <c r="Y85" s="455">
        <v>7365.21</v>
      </c>
      <c r="Z85" s="455">
        <v>0</v>
      </c>
      <c r="AA85" s="64">
        <f t="shared" si="20"/>
        <v>7365.21</v>
      </c>
      <c r="AB85" s="64" t="str">
        <f t="shared" si="21"/>
        <v>OK</v>
      </c>
      <c r="AC85" s="70">
        <f>522.08+0.4</f>
        <v>522.48</v>
      </c>
      <c r="AD85" s="63"/>
      <c r="AE85" s="70">
        <v>108.16</v>
      </c>
      <c r="AF85" s="79"/>
      <c r="AG85" s="206">
        <f t="shared" si="0"/>
        <v>630.64</v>
      </c>
      <c r="AH85" s="210">
        <v>630.64</v>
      </c>
    </row>
    <row r="86" spans="1:34" s="406" customFormat="1" ht="12.75">
      <c r="A86" s="106" t="s">
        <v>342</v>
      </c>
      <c r="B86" s="107" t="s">
        <v>499</v>
      </c>
      <c r="C86" s="565" t="s">
        <v>501</v>
      </c>
      <c r="D86" s="566"/>
      <c r="E86" s="566"/>
      <c r="F86" s="566"/>
      <c r="G86" s="566"/>
      <c r="H86" s="566"/>
      <c r="I86" s="567"/>
      <c r="J86" s="69">
        <f>0.6*0.6*0.05*12</f>
        <v>0.21599999999999997</v>
      </c>
      <c r="K86" s="109" t="s">
        <v>64</v>
      </c>
      <c r="L86" s="70"/>
      <c r="M86" s="70"/>
      <c r="N86" s="70"/>
      <c r="O86" s="70"/>
      <c r="P86" s="70"/>
      <c r="Q86" s="70"/>
      <c r="R86" s="70"/>
      <c r="S86" s="70"/>
      <c r="T86" s="465">
        <v>265.6481481481482</v>
      </c>
      <c r="U86" s="435">
        <f t="shared" si="18"/>
        <v>57.38</v>
      </c>
      <c r="V86" s="465">
        <v>142.50000000000003</v>
      </c>
      <c r="W86" s="435">
        <f t="shared" si="19"/>
        <v>30.78</v>
      </c>
      <c r="X86" s="466">
        <f t="shared" si="22"/>
        <v>88.16</v>
      </c>
      <c r="Y86" s="455">
        <v>88.15</v>
      </c>
      <c r="Z86" s="455">
        <v>0</v>
      </c>
      <c r="AA86" s="64">
        <f t="shared" si="20"/>
        <v>88.15</v>
      </c>
      <c r="AB86" s="467">
        <f t="shared" si="21"/>
        <v>0.009999999999990905</v>
      </c>
      <c r="AC86" s="70">
        <v>272.93</v>
      </c>
      <c r="AD86" s="63"/>
      <c r="AE86" s="70">
        <v>146.4</v>
      </c>
      <c r="AF86" s="79"/>
      <c r="AG86" s="206">
        <f t="shared" si="0"/>
        <v>419.33000000000004</v>
      </c>
      <c r="AH86" s="210">
        <v>419.43</v>
      </c>
    </row>
    <row r="87" spans="1:34" s="406" customFormat="1" ht="12.75">
      <c r="A87" s="106" t="s">
        <v>343</v>
      </c>
      <c r="B87" s="107" t="s">
        <v>507</v>
      </c>
      <c r="C87" s="565" t="s">
        <v>508</v>
      </c>
      <c r="D87" s="566"/>
      <c r="E87" s="566"/>
      <c r="F87" s="566"/>
      <c r="G87" s="566"/>
      <c r="H87" s="566"/>
      <c r="I87" s="567"/>
      <c r="J87" s="69">
        <f>0.6*0.6*0.6*12</f>
        <v>2.592</v>
      </c>
      <c r="K87" s="109" t="s">
        <v>64</v>
      </c>
      <c r="L87" s="70"/>
      <c r="M87" s="70"/>
      <c r="N87" s="70"/>
      <c r="O87" s="70"/>
      <c r="P87" s="70"/>
      <c r="Q87" s="70"/>
      <c r="R87" s="70"/>
      <c r="S87" s="70"/>
      <c r="T87" s="435">
        <v>23.16358024691358</v>
      </c>
      <c r="U87" s="435">
        <f t="shared" si="18"/>
        <v>60.04</v>
      </c>
      <c r="V87" s="435">
        <v>72.93981481481481</v>
      </c>
      <c r="W87" s="435">
        <f t="shared" si="19"/>
        <v>189.06</v>
      </c>
      <c r="X87" s="436">
        <f t="shared" si="22"/>
        <v>249.1</v>
      </c>
      <c r="Y87" s="455">
        <v>249.1</v>
      </c>
      <c r="Z87" s="455">
        <v>0</v>
      </c>
      <c r="AA87" s="64">
        <f t="shared" si="20"/>
        <v>249.1</v>
      </c>
      <c r="AB87" s="64" t="str">
        <f t="shared" si="21"/>
        <v>OK</v>
      </c>
      <c r="AC87" s="70">
        <v>23.799999999999997</v>
      </c>
      <c r="AD87" s="63"/>
      <c r="AE87" s="70">
        <v>74.95</v>
      </c>
      <c r="AF87" s="79"/>
      <c r="AG87" s="206">
        <f t="shared" si="0"/>
        <v>98.75</v>
      </c>
      <c r="AH87" s="210">
        <v>2.12</v>
      </c>
    </row>
    <row r="88" spans="1:34" s="406" customFormat="1" ht="12.75">
      <c r="A88" s="106" t="s">
        <v>344</v>
      </c>
      <c r="B88" s="107" t="s">
        <v>542</v>
      </c>
      <c r="C88" s="568" t="s">
        <v>316</v>
      </c>
      <c r="D88" s="568"/>
      <c r="E88" s="568"/>
      <c r="F88" s="568"/>
      <c r="G88" s="568"/>
      <c r="H88" s="568"/>
      <c r="I88" s="568"/>
      <c r="J88" s="69">
        <f>0.6*0.6*0.6*12</f>
        <v>2.592</v>
      </c>
      <c r="K88" s="109" t="s">
        <v>64</v>
      </c>
      <c r="L88" s="71"/>
      <c r="M88" s="71"/>
      <c r="N88" s="71"/>
      <c r="O88" s="71"/>
      <c r="P88" s="71"/>
      <c r="Q88" s="71"/>
      <c r="R88" s="71"/>
      <c r="S88" s="71"/>
      <c r="T88" s="435">
        <v>293.09027777777777</v>
      </c>
      <c r="U88" s="435">
        <f t="shared" si="18"/>
        <v>759.69</v>
      </c>
      <c r="V88" s="465">
        <v>22.554012345679013</v>
      </c>
      <c r="W88" s="435">
        <f t="shared" si="19"/>
        <v>58.46</v>
      </c>
      <c r="X88" s="436">
        <f>ROUND(U88+W88,2)</f>
        <v>818.15</v>
      </c>
      <c r="Y88" s="455">
        <v>818.15</v>
      </c>
      <c r="Z88" s="455">
        <v>0</v>
      </c>
      <c r="AA88" s="64">
        <f t="shared" si="20"/>
        <v>818.15</v>
      </c>
      <c r="AB88" s="64" t="str">
        <f t="shared" si="21"/>
        <v>OK</v>
      </c>
      <c r="AC88" s="73">
        <f>300.9+0.14+0.11</f>
        <v>301.15</v>
      </c>
      <c r="AD88" s="63"/>
      <c r="AE88" s="73">
        <v>23.18</v>
      </c>
      <c r="AF88" s="79"/>
      <c r="AG88" s="206">
        <f>AE88+AC88</f>
        <v>324.33</v>
      </c>
      <c r="AH88" s="210">
        <v>324.33</v>
      </c>
    </row>
    <row r="89" spans="1:34" s="406" customFormat="1" ht="30" customHeight="1">
      <c r="A89" s="106" t="s">
        <v>345</v>
      </c>
      <c r="B89" s="107" t="s">
        <v>156</v>
      </c>
      <c r="C89" s="568" t="s">
        <v>155</v>
      </c>
      <c r="D89" s="568"/>
      <c r="E89" s="568"/>
      <c r="F89" s="568"/>
      <c r="G89" s="568"/>
      <c r="H89" s="568"/>
      <c r="I89" s="568"/>
      <c r="J89" s="109">
        <v>1</v>
      </c>
      <c r="K89" s="76" t="s">
        <v>114</v>
      </c>
      <c r="L89" s="70"/>
      <c r="M89" s="70"/>
      <c r="N89" s="70"/>
      <c r="O89" s="70"/>
      <c r="P89" s="70"/>
      <c r="Q89" s="70"/>
      <c r="R89" s="70"/>
      <c r="S89" s="70"/>
      <c r="T89" s="435">
        <v>336.87</v>
      </c>
      <c r="U89" s="435">
        <f t="shared" si="18"/>
        <v>336.87</v>
      </c>
      <c r="V89" s="435">
        <v>55.98</v>
      </c>
      <c r="W89" s="435">
        <f t="shared" si="19"/>
        <v>55.98</v>
      </c>
      <c r="X89" s="466">
        <f t="shared" si="22"/>
        <v>392.85</v>
      </c>
      <c r="Y89" s="455">
        <v>392.84</v>
      </c>
      <c r="Z89" s="455">
        <v>0</v>
      </c>
      <c r="AA89" s="64">
        <f t="shared" si="20"/>
        <v>392.84</v>
      </c>
      <c r="AB89" s="467">
        <f t="shared" si="21"/>
        <v>0.010000000000047748</v>
      </c>
      <c r="AC89" s="70">
        <f>345.89+0.24</f>
        <v>346.13</v>
      </c>
      <c r="AD89" s="63"/>
      <c r="AE89" s="70">
        <v>57.52</v>
      </c>
      <c r="AF89" s="79"/>
      <c r="AG89" s="206">
        <f t="shared" si="0"/>
        <v>403.65</v>
      </c>
      <c r="AH89" s="210">
        <v>403.65</v>
      </c>
    </row>
    <row r="90" spans="1:34" s="406" customFormat="1" ht="19.5" customHeight="1">
      <c r="A90" s="106" t="s">
        <v>346</v>
      </c>
      <c r="B90" s="107" t="s">
        <v>236</v>
      </c>
      <c r="C90" s="568" t="s">
        <v>237</v>
      </c>
      <c r="D90" s="568"/>
      <c r="E90" s="568"/>
      <c r="F90" s="568"/>
      <c r="G90" s="568"/>
      <c r="H90" s="568"/>
      <c r="I90" s="568"/>
      <c r="J90" s="109">
        <v>1</v>
      </c>
      <c r="K90" s="76" t="s">
        <v>114</v>
      </c>
      <c r="L90" s="70"/>
      <c r="M90" s="70"/>
      <c r="N90" s="70"/>
      <c r="O90" s="70"/>
      <c r="P90" s="70"/>
      <c r="Q90" s="70"/>
      <c r="R90" s="70"/>
      <c r="S90" s="70"/>
      <c r="T90" s="435">
        <v>8.91</v>
      </c>
      <c r="U90" s="435">
        <f t="shared" si="18"/>
        <v>8.91</v>
      </c>
      <c r="V90" s="435">
        <v>0.77</v>
      </c>
      <c r="W90" s="435">
        <f t="shared" si="19"/>
        <v>0.77</v>
      </c>
      <c r="X90" s="436">
        <f t="shared" si="22"/>
        <v>9.68</v>
      </c>
      <c r="Y90" s="455">
        <v>9.68</v>
      </c>
      <c r="Z90" s="455">
        <v>0</v>
      </c>
      <c r="AA90" s="64">
        <f t="shared" si="20"/>
        <v>9.68</v>
      </c>
      <c r="AB90" s="64" t="str">
        <f t="shared" si="21"/>
        <v>OK</v>
      </c>
      <c r="AC90" s="70">
        <v>9.15</v>
      </c>
      <c r="AD90" s="63"/>
      <c r="AE90" s="70">
        <v>0.79</v>
      </c>
      <c r="AF90" s="79"/>
      <c r="AG90" s="206">
        <f t="shared" si="0"/>
        <v>9.940000000000001</v>
      </c>
      <c r="AH90" s="210">
        <v>9.94</v>
      </c>
    </row>
    <row r="91" spans="1:34" s="406" customFormat="1" ht="19.5" customHeight="1">
      <c r="A91" s="106" t="s">
        <v>347</v>
      </c>
      <c r="B91" s="107" t="s">
        <v>217</v>
      </c>
      <c r="C91" s="568" t="s">
        <v>157</v>
      </c>
      <c r="D91" s="568"/>
      <c r="E91" s="568"/>
      <c r="F91" s="568"/>
      <c r="G91" s="568"/>
      <c r="H91" s="568"/>
      <c r="I91" s="568"/>
      <c r="J91" s="109">
        <v>2</v>
      </c>
      <c r="K91" s="76" t="s">
        <v>114</v>
      </c>
      <c r="L91" s="70"/>
      <c r="M91" s="70"/>
      <c r="N91" s="70"/>
      <c r="O91" s="70"/>
      <c r="P91" s="70"/>
      <c r="Q91" s="70"/>
      <c r="R91" s="70"/>
      <c r="S91" s="70"/>
      <c r="T91" s="435">
        <v>8.98</v>
      </c>
      <c r="U91" s="435">
        <f t="shared" si="18"/>
        <v>17.96</v>
      </c>
      <c r="V91" s="435">
        <v>1.07</v>
      </c>
      <c r="W91" s="435">
        <f t="shared" si="19"/>
        <v>2.14</v>
      </c>
      <c r="X91" s="436">
        <f t="shared" si="22"/>
        <v>20.1</v>
      </c>
      <c r="Y91" s="455">
        <v>20.1</v>
      </c>
      <c r="Z91" s="455">
        <v>0</v>
      </c>
      <c r="AA91" s="64">
        <f t="shared" si="20"/>
        <v>20.1</v>
      </c>
      <c r="AB91" s="64" t="str">
        <f t="shared" si="21"/>
        <v>OK</v>
      </c>
      <c r="AC91" s="70">
        <v>9.23</v>
      </c>
      <c r="AD91" s="63"/>
      <c r="AE91" s="70">
        <v>1.1</v>
      </c>
      <c r="AF91" s="79"/>
      <c r="AG91" s="206">
        <f t="shared" si="0"/>
        <v>10.33</v>
      </c>
      <c r="AH91" s="210">
        <v>10.33</v>
      </c>
    </row>
    <row r="92" spans="1:34" s="406" customFormat="1" ht="19.5" customHeight="1">
      <c r="A92" s="106" t="s">
        <v>348</v>
      </c>
      <c r="B92" s="107" t="s">
        <v>218</v>
      </c>
      <c r="C92" s="568" t="s">
        <v>158</v>
      </c>
      <c r="D92" s="568"/>
      <c r="E92" s="568"/>
      <c r="F92" s="568"/>
      <c r="G92" s="568"/>
      <c r="H92" s="568"/>
      <c r="I92" s="568"/>
      <c r="J92" s="109">
        <v>5</v>
      </c>
      <c r="K92" s="76" t="s">
        <v>114</v>
      </c>
      <c r="L92" s="70"/>
      <c r="M92" s="70"/>
      <c r="N92" s="70"/>
      <c r="O92" s="70"/>
      <c r="P92" s="70"/>
      <c r="Q92" s="70"/>
      <c r="R92" s="70"/>
      <c r="S92" s="70"/>
      <c r="T92" s="435">
        <v>9.276</v>
      </c>
      <c r="U92" s="435">
        <f t="shared" si="18"/>
        <v>46.379999999999995</v>
      </c>
      <c r="V92" s="435">
        <v>1.47</v>
      </c>
      <c r="W92" s="435">
        <f t="shared" si="19"/>
        <v>7.35</v>
      </c>
      <c r="X92" s="436">
        <f t="shared" si="22"/>
        <v>53.73</v>
      </c>
      <c r="Y92" s="455">
        <v>53.73</v>
      </c>
      <c r="Z92" s="455">
        <v>0</v>
      </c>
      <c r="AA92" s="64">
        <f t="shared" si="20"/>
        <v>53.73</v>
      </c>
      <c r="AB92" s="64" t="str">
        <f t="shared" si="21"/>
        <v>OK</v>
      </c>
      <c r="AC92" s="70">
        <v>9.53</v>
      </c>
      <c r="AD92" s="63"/>
      <c r="AE92" s="70">
        <v>1.51</v>
      </c>
      <c r="AF92" s="79"/>
      <c r="AG92" s="206">
        <f t="shared" si="0"/>
        <v>11.04</v>
      </c>
      <c r="AH92" s="210">
        <v>11.04</v>
      </c>
    </row>
    <row r="93" spans="1:34" s="406" customFormat="1" ht="19.5" customHeight="1">
      <c r="A93" s="106" t="s">
        <v>349</v>
      </c>
      <c r="B93" s="107" t="s">
        <v>219</v>
      </c>
      <c r="C93" s="568" t="s">
        <v>159</v>
      </c>
      <c r="D93" s="568"/>
      <c r="E93" s="568"/>
      <c r="F93" s="568"/>
      <c r="G93" s="568"/>
      <c r="H93" s="568"/>
      <c r="I93" s="568"/>
      <c r="J93" s="109">
        <v>1</v>
      </c>
      <c r="K93" s="76" t="s">
        <v>114</v>
      </c>
      <c r="L93" s="70"/>
      <c r="M93" s="70"/>
      <c r="N93" s="70"/>
      <c r="O93" s="70"/>
      <c r="P93" s="70"/>
      <c r="Q93" s="70"/>
      <c r="R93" s="70"/>
      <c r="S93" s="70"/>
      <c r="T93" s="435">
        <v>13.87</v>
      </c>
      <c r="U93" s="435">
        <f aca="true" t="shared" si="23" ref="U93:U109">J93*T93</f>
        <v>13.87</v>
      </c>
      <c r="V93" s="435">
        <v>3.04</v>
      </c>
      <c r="W93" s="435">
        <f t="shared" si="19"/>
        <v>3.04</v>
      </c>
      <c r="X93" s="436">
        <f t="shared" si="22"/>
        <v>16.91</v>
      </c>
      <c r="Y93" s="455">
        <v>16.91</v>
      </c>
      <c r="Z93" s="455">
        <v>0</v>
      </c>
      <c r="AA93" s="64">
        <f t="shared" si="20"/>
        <v>16.91</v>
      </c>
      <c r="AB93" s="64" t="str">
        <f t="shared" si="21"/>
        <v>OK</v>
      </c>
      <c r="AC93" s="70">
        <v>14.25</v>
      </c>
      <c r="AD93" s="63"/>
      <c r="AE93" s="70">
        <v>3.12</v>
      </c>
      <c r="AF93" s="79"/>
      <c r="AG93" s="206">
        <f t="shared" si="0"/>
        <v>17.37</v>
      </c>
      <c r="AH93" s="210">
        <v>17.37</v>
      </c>
    </row>
    <row r="94" spans="1:34" s="406" customFormat="1" ht="19.5" customHeight="1">
      <c r="A94" s="106" t="s">
        <v>350</v>
      </c>
      <c r="B94" s="107" t="s">
        <v>220</v>
      </c>
      <c r="C94" s="568" t="s">
        <v>160</v>
      </c>
      <c r="D94" s="568"/>
      <c r="E94" s="568"/>
      <c r="F94" s="568"/>
      <c r="G94" s="568"/>
      <c r="H94" s="568"/>
      <c r="I94" s="568"/>
      <c r="J94" s="109">
        <v>2</v>
      </c>
      <c r="K94" s="76" t="s">
        <v>114</v>
      </c>
      <c r="L94" s="70"/>
      <c r="M94" s="70"/>
      <c r="N94" s="70"/>
      <c r="O94" s="70"/>
      <c r="P94" s="70"/>
      <c r="Q94" s="70"/>
      <c r="R94" s="70"/>
      <c r="S94" s="70"/>
      <c r="T94" s="435">
        <v>14.405</v>
      </c>
      <c r="U94" s="435">
        <f t="shared" si="23"/>
        <v>28.81</v>
      </c>
      <c r="V94" s="465">
        <v>4.275</v>
      </c>
      <c r="W94" s="435">
        <f t="shared" si="19"/>
        <v>8.55</v>
      </c>
      <c r="X94" s="436">
        <f t="shared" si="22"/>
        <v>37.36</v>
      </c>
      <c r="Y94" s="455">
        <v>37.36</v>
      </c>
      <c r="Z94" s="455">
        <v>0</v>
      </c>
      <c r="AA94" s="64">
        <f t="shared" si="20"/>
        <v>37.36</v>
      </c>
      <c r="AB94" s="64" t="str">
        <f t="shared" si="21"/>
        <v>OK</v>
      </c>
      <c r="AC94" s="70">
        <v>14.8</v>
      </c>
      <c r="AD94" s="63"/>
      <c r="AE94" s="70">
        <v>4.39</v>
      </c>
      <c r="AF94" s="79"/>
      <c r="AG94" s="206">
        <f t="shared" si="0"/>
        <v>19.19</v>
      </c>
      <c r="AH94" s="210">
        <v>19.19</v>
      </c>
    </row>
    <row r="95" spans="1:34" s="406" customFormat="1" ht="19.5" customHeight="1">
      <c r="A95" s="106" t="s">
        <v>351</v>
      </c>
      <c r="B95" s="107" t="s">
        <v>232</v>
      </c>
      <c r="C95" s="568" t="s">
        <v>231</v>
      </c>
      <c r="D95" s="568"/>
      <c r="E95" s="568"/>
      <c r="F95" s="568"/>
      <c r="G95" s="568"/>
      <c r="H95" s="568"/>
      <c r="I95" s="568"/>
      <c r="J95" s="109">
        <v>85</v>
      </c>
      <c r="K95" s="76" t="s">
        <v>65</v>
      </c>
      <c r="L95" s="70"/>
      <c r="M95" s="70"/>
      <c r="N95" s="70"/>
      <c r="O95" s="70"/>
      <c r="P95" s="70"/>
      <c r="Q95" s="70"/>
      <c r="R95" s="70"/>
      <c r="S95" s="70"/>
      <c r="T95" s="435">
        <v>1.0547058823529412</v>
      </c>
      <c r="U95" s="435">
        <f t="shared" si="23"/>
        <v>89.65</v>
      </c>
      <c r="V95" s="435">
        <v>0.5432941176470588</v>
      </c>
      <c r="W95" s="435">
        <f t="shared" si="19"/>
        <v>46.18</v>
      </c>
      <c r="X95" s="436">
        <f t="shared" si="22"/>
        <v>135.83</v>
      </c>
      <c r="Y95" s="455">
        <v>135.83</v>
      </c>
      <c r="Z95" s="455">
        <v>0</v>
      </c>
      <c r="AA95" s="64">
        <f t="shared" si="20"/>
        <v>135.83</v>
      </c>
      <c r="AB95" s="64" t="str">
        <f t="shared" si="21"/>
        <v>OK</v>
      </c>
      <c r="AC95" s="70">
        <v>1.08</v>
      </c>
      <c r="AD95" s="63"/>
      <c r="AE95" s="70">
        <v>0.56</v>
      </c>
      <c r="AF95" s="79"/>
      <c r="AG95" s="206">
        <f t="shared" si="0"/>
        <v>1.6400000000000001</v>
      </c>
      <c r="AH95" s="210">
        <v>1.64</v>
      </c>
    </row>
    <row r="96" spans="1:34" s="406" customFormat="1" ht="19.5" customHeight="1">
      <c r="A96" s="106" t="s">
        <v>352</v>
      </c>
      <c r="B96" s="107" t="s">
        <v>162</v>
      </c>
      <c r="C96" s="568" t="s">
        <v>161</v>
      </c>
      <c r="D96" s="568"/>
      <c r="E96" s="568"/>
      <c r="F96" s="568"/>
      <c r="G96" s="568"/>
      <c r="H96" s="568"/>
      <c r="I96" s="568"/>
      <c r="J96" s="109">
        <v>158.7</v>
      </c>
      <c r="K96" s="76" t="s">
        <v>65</v>
      </c>
      <c r="L96" s="70"/>
      <c r="M96" s="70"/>
      <c r="N96" s="70"/>
      <c r="O96" s="70"/>
      <c r="P96" s="70"/>
      <c r="Q96" s="70"/>
      <c r="R96" s="70"/>
      <c r="S96" s="70"/>
      <c r="T96" s="435">
        <v>1.6858853182104603</v>
      </c>
      <c r="U96" s="435">
        <f t="shared" si="23"/>
        <v>267.55</v>
      </c>
      <c r="V96" s="435">
        <v>0.6791430371770637</v>
      </c>
      <c r="W96" s="435">
        <f t="shared" si="19"/>
        <v>107.78</v>
      </c>
      <c r="X96" s="436">
        <f t="shared" si="22"/>
        <v>375.33</v>
      </c>
      <c r="Y96" s="455">
        <v>375.33</v>
      </c>
      <c r="Z96" s="455">
        <v>0</v>
      </c>
      <c r="AA96" s="64">
        <f t="shared" si="20"/>
        <v>375.33</v>
      </c>
      <c r="AB96" s="64" t="str">
        <f t="shared" si="21"/>
        <v>OK</v>
      </c>
      <c r="AC96" s="70">
        <v>1.73</v>
      </c>
      <c r="AD96" s="63"/>
      <c r="AE96" s="70">
        <v>0.7</v>
      </c>
      <c r="AF96" s="79"/>
      <c r="AG96" s="206">
        <f t="shared" si="0"/>
        <v>2.4299999999999997</v>
      </c>
      <c r="AH96" s="210">
        <v>2.43</v>
      </c>
    </row>
    <row r="97" spans="1:34" s="406" customFormat="1" ht="19.5" customHeight="1">
      <c r="A97" s="106" t="s">
        <v>353</v>
      </c>
      <c r="B97" s="107" t="s">
        <v>164</v>
      </c>
      <c r="C97" s="568" t="s">
        <v>163</v>
      </c>
      <c r="D97" s="568"/>
      <c r="E97" s="568"/>
      <c r="F97" s="568"/>
      <c r="G97" s="568"/>
      <c r="H97" s="568"/>
      <c r="I97" s="568"/>
      <c r="J97" s="109">
        <f>35+1714.22-70</f>
        <v>1679.22</v>
      </c>
      <c r="K97" s="76" t="s">
        <v>65</v>
      </c>
      <c r="L97" s="70"/>
      <c r="M97" s="70"/>
      <c r="N97" s="70"/>
      <c r="O97" s="70"/>
      <c r="P97" s="70"/>
      <c r="Q97" s="70"/>
      <c r="R97" s="70"/>
      <c r="S97" s="70"/>
      <c r="T97" s="435">
        <v>2.9083622157906643</v>
      </c>
      <c r="U97" s="435">
        <f t="shared" si="23"/>
        <v>4883.78</v>
      </c>
      <c r="V97" s="435">
        <v>0.9028715713247817</v>
      </c>
      <c r="W97" s="435">
        <f t="shared" si="19"/>
        <v>1516.12</v>
      </c>
      <c r="X97" s="466">
        <f t="shared" si="22"/>
        <v>6399.9</v>
      </c>
      <c r="Y97" s="455">
        <v>6399.89</v>
      </c>
      <c r="Z97" s="455">
        <v>0</v>
      </c>
      <c r="AA97" s="64">
        <f t="shared" si="20"/>
        <v>6399.89</v>
      </c>
      <c r="AB97" s="467">
        <f t="shared" si="21"/>
        <v>0.009999999999308784</v>
      </c>
      <c r="AC97" s="70">
        <v>2.99</v>
      </c>
      <c r="AD97" s="63"/>
      <c r="AE97" s="70">
        <v>0.93</v>
      </c>
      <c r="AF97" s="79"/>
      <c r="AG97" s="206">
        <f t="shared" si="0"/>
        <v>3.9200000000000004</v>
      </c>
      <c r="AH97" s="210">
        <v>3.92</v>
      </c>
    </row>
    <row r="98" spans="1:34" s="406" customFormat="1" ht="19.5" customHeight="1">
      <c r="A98" s="106" t="s">
        <v>354</v>
      </c>
      <c r="B98" s="107" t="s">
        <v>221</v>
      </c>
      <c r="C98" s="568" t="s">
        <v>165</v>
      </c>
      <c r="D98" s="568"/>
      <c r="E98" s="568"/>
      <c r="F98" s="568"/>
      <c r="G98" s="568"/>
      <c r="H98" s="568"/>
      <c r="I98" s="568"/>
      <c r="J98" s="109">
        <v>21</v>
      </c>
      <c r="K98" s="76" t="s">
        <v>65</v>
      </c>
      <c r="L98" s="70"/>
      <c r="M98" s="70"/>
      <c r="N98" s="70"/>
      <c r="O98" s="70"/>
      <c r="P98" s="70"/>
      <c r="Q98" s="70"/>
      <c r="R98" s="70"/>
      <c r="S98" s="70"/>
      <c r="T98" s="435">
        <v>10.49904761904762</v>
      </c>
      <c r="U98" s="435">
        <f t="shared" si="23"/>
        <v>220.48000000000002</v>
      </c>
      <c r="V98" s="435">
        <v>2.5966666666666667</v>
      </c>
      <c r="W98" s="435">
        <f t="shared" si="19"/>
        <v>54.53</v>
      </c>
      <c r="X98" s="436">
        <f t="shared" si="22"/>
        <v>275.01</v>
      </c>
      <c r="Y98" s="455">
        <v>275.01</v>
      </c>
      <c r="Z98" s="455">
        <v>0</v>
      </c>
      <c r="AA98" s="64">
        <f t="shared" si="20"/>
        <v>275.01</v>
      </c>
      <c r="AB98" s="64" t="str">
        <f t="shared" si="21"/>
        <v>OK</v>
      </c>
      <c r="AC98" s="70">
        <v>10.79</v>
      </c>
      <c r="AD98" s="63"/>
      <c r="AE98" s="70">
        <v>2.67</v>
      </c>
      <c r="AF98" s="79"/>
      <c r="AG98" s="206">
        <f t="shared" si="0"/>
        <v>13.459999999999999</v>
      </c>
      <c r="AH98" s="210">
        <v>13.46</v>
      </c>
    </row>
    <row r="99" spans="1:34" s="406" customFormat="1" ht="12.75" customHeight="1">
      <c r="A99" s="106" t="s">
        <v>355</v>
      </c>
      <c r="B99" s="107" t="s">
        <v>169</v>
      </c>
      <c r="C99" s="568" t="s">
        <v>168</v>
      </c>
      <c r="D99" s="568"/>
      <c r="E99" s="568"/>
      <c r="F99" s="568"/>
      <c r="G99" s="568"/>
      <c r="H99" s="568"/>
      <c r="I99" s="568"/>
      <c r="J99" s="109">
        <v>15</v>
      </c>
      <c r="K99" s="76" t="s">
        <v>114</v>
      </c>
      <c r="L99" s="70"/>
      <c r="M99" s="70"/>
      <c r="N99" s="70"/>
      <c r="O99" s="70"/>
      <c r="P99" s="70"/>
      <c r="Q99" s="70"/>
      <c r="R99" s="70"/>
      <c r="S99" s="70"/>
      <c r="T99" s="435">
        <v>68.17866666666666</v>
      </c>
      <c r="U99" s="435">
        <f t="shared" si="23"/>
        <v>1022.6799999999998</v>
      </c>
      <c r="V99" s="435">
        <v>67.47533333333334</v>
      </c>
      <c r="W99" s="435">
        <f t="shared" si="19"/>
        <v>1012.1300000000001</v>
      </c>
      <c r="X99" s="436">
        <f t="shared" si="22"/>
        <v>2034.81</v>
      </c>
      <c r="Y99" s="455">
        <v>2034.81</v>
      </c>
      <c r="Z99" s="455">
        <v>0</v>
      </c>
      <c r="AA99" s="64">
        <f t="shared" si="20"/>
        <v>2034.81</v>
      </c>
      <c r="AB99" s="64" t="str">
        <f t="shared" si="21"/>
        <v>OK</v>
      </c>
      <c r="AC99" s="70">
        <f>69.76+0.29</f>
        <v>70.05000000000001</v>
      </c>
      <c r="AD99" s="63"/>
      <c r="AE99" s="70">
        <v>69.33</v>
      </c>
      <c r="AF99" s="79"/>
      <c r="AG99" s="206">
        <f t="shared" si="0"/>
        <v>139.38</v>
      </c>
      <c r="AH99" s="210">
        <v>139.38</v>
      </c>
    </row>
    <row r="100" spans="1:34" s="406" customFormat="1" ht="12.75" customHeight="1">
      <c r="A100" s="106" t="s">
        <v>356</v>
      </c>
      <c r="B100" s="107" t="s">
        <v>171</v>
      </c>
      <c r="C100" s="568" t="s">
        <v>170</v>
      </c>
      <c r="D100" s="568"/>
      <c r="E100" s="568"/>
      <c r="F100" s="568"/>
      <c r="G100" s="568"/>
      <c r="H100" s="568"/>
      <c r="I100" s="568"/>
      <c r="J100" s="109">
        <v>1</v>
      </c>
      <c r="K100" s="76" t="s">
        <v>114</v>
      </c>
      <c r="L100" s="70"/>
      <c r="M100" s="70"/>
      <c r="N100" s="70"/>
      <c r="O100" s="70"/>
      <c r="P100" s="70"/>
      <c r="Q100" s="70"/>
      <c r="R100" s="70"/>
      <c r="S100" s="70"/>
      <c r="T100" s="435">
        <v>5.67</v>
      </c>
      <c r="U100" s="435">
        <f t="shared" si="23"/>
        <v>5.67</v>
      </c>
      <c r="V100" s="435">
        <v>35.74</v>
      </c>
      <c r="W100" s="435">
        <f t="shared" si="19"/>
        <v>35.74</v>
      </c>
      <c r="X100" s="436">
        <f t="shared" si="22"/>
        <v>41.41</v>
      </c>
      <c r="Y100" s="455">
        <v>41.41</v>
      </c>
      <c r="Z100" s="455">
        <v>0</v>
      </c>
      <c r="AA100" s="64">
        <f t="shared" si="20"/>
        <v>41.41</v>
      </c>
      <c r="AB100" s="64" t="str">
        <f t="shared" si="21"/>
        <v>OK</v>
      </c>
      <c r="AC100" s="70">
        <v>5.83</v>
      </c>
      <c r="AD100" s="63"/>
      <c r="AE100" s="70">
        <v>36.72</v>
      </c>
      <c r="AF100" s="79"/>
      <c r="AG100" s="206">
        <f t="shared" si="0"/>
        <v>42.55</v>
      </c>
      <c r="AH100" s="210">
        <v>42.55</v>
      </c>
    </row>
    <row r="101" spans="1:34" s="406" customFormat="1" ht="19.5" customHeight="1">
      <c r="A101" s="106" t="s">
        <v>357</v>
      </c>
      <c r="B101" s="107" t="s">
        <v>173</v>
      </c>
      <c r="C101" s="568" t="s">
        <v>172</v>
      </c>
      <c r="D101" s="568"/>
      <c r="E101" s="568"/>
      <c r="F101" s="568"/>
      <c r="G101" s="568"/>
      <c r="H101" s="568"/>
      <c r="I101" s="568"/>
      <c r="J101" s="109">
        <v>20</v>
      </c>
      <c r="K101" s="76" t="s">
        <v>114</v>
      </c>
      <c r="L101" s="70"/>
      <c r="M101" s="70"/>
      <c r="N101" s="70"/>
      <c r="O101" s="70"/>
      <c r="P101" s="70"/>
      <c r="Q101" s="70"/>
      <c r="R101" s="70"/>
      <c r="S101" s="70"/>
      <c r="T101" s="435">
        <v>17.322499999999998</v>
      </c>
      <c r="U101" s="435">
        <f t="shared" si="23"/>
        <v>346.44999999999993</v>
      </c>
      <c r="V101" s="435">
        <v>8.2135</v>
      </c>
      <c r="W101" s="435">
        <f t="shared" si="19"/>
        <v>164.26999999999998</v>
      </c>
      <c r="X101" s="436">
        <f t="shared" si="22"/>
        <v>510.72</v>
      </c>
      <c r="Y101" s="455">
        <v>510.72</v>
      </c>
      <c r="Z101" s="455">
        <v>0</v>
      </c>
      <c r="AA101" s="64">
        <f t="shared" si="20"/>
        <v>510.72</v>
      </c>
      <c r="AB101" s="64" t="str">
        <f t="shared" si="21"/>
        <v>OK</v>
      </c>
      <c r="AC101" s="70">
        <f>17.78+0.02</f>
        <v>17.8</v>
      </c>
      <c r="AD101" s="63"/>
      <c r="AE101" s="70">
        <v>8.44</v>
      </c>
      <c r="AF101" s="79"/>
      <c r="AG101" s="206">
        <f t="shared" si="0"/>
        <v>26.240000000000002</v>
      </c>
      <c r="AH101" s="210">
        <v>26.24</v>
      </c>
    </row>
    <row r="102" spans="1:34" s="412" customFormat="1" ht="12.75" customHeight="1">
      <c r="A102" s="106" t="s">
        <v>358</v>
      </c>
      <c r="B102" s="113" t="s">
        <v>135</v>
      </c>
      <c r="C102" s="636" t="s">
        <v>518</v>
      </c>
      <c r="D102" s="636"/>
      <c r="E102" s="636"/>
      <c r="F102" s="636"/>
      <c r="G102" s="636"/>
      <c r="H102" s="636"/>
      <c r="I102" s="636"/>
      <c r="J102" s="219">
        <v>24</v>
      </c>
      <c r="K102" s="220" t="s">
        <v>114</v>
      </c>
      <c r="L102" s="221"/>
      <c r="M102" s="221"/>
      <c r="N102" s="221"/>
      <c r="O102" s="221"/>
      <c r="P102" s="221"/>
      <c r="Q102" s="221"/>
      <c r="R102" s="221"/>
      <c r="S102" s="221"/>
      <c r="T102" s="435">
        <v>447.44</v>
      </c>
      <c r="U102" s="435">
        <f t="shared" si="23"/>
        <v>10738.56</v>
      </c>
      <c r="V102" s="435">
        <v>111.86125</v>
      </c>
      <c r="W102" s="465">
        <f t="shared" si="19"/>
        <v>2684.67</v>
      </c>
      <c r="X102" s="466">
        <f t="shared" si="22"/>
        <v>13423.23</v>
      </c>
      <c r="Y102" s="455">
        <v>13423.2</v>
      </c>
      <c r="Z102" s="455">
        <v>0</v>
      </c>
      <c r="AA102" s="64">
        <f t="shared" si="20"/>
        <v>13423.2</v>
      </c>
      <c r="AB102" s="467">
        <f t="shared" si="21"/>
        <v>0.029999999998835847</v>
      </c>
      <c r="AC102" s="221">
        <f>700*0.8</f>
        <v>560</v>
      </c>
      <c r="AD102" s="411"/>
      <c r="AE102" s="221">
        <f>700*0.2</f>
        <v>140</v>
      </c>
      <c r="AF102" s="222"/>
      <c r="AG102" s="223">
        <v>700</v>
      </c>
      <c r="AH102" s="224"/>
    </row>
    <row r="103" spans="1:34" s="406" customFormat="1" ht="19.5" customHeight="1">
      <c r="A103" s="106" t="s">
        <v>359</v>
      </c>
      <c r="B103" s="107" t="s">
        <v>175</v>
      </c>
      <c r="C103" s="568" t="s">
        <v>174</v>
      </c>
      <c r="D103" s="568"/>
      <c r="E103" s="568"/>
      <c r="F103" s="568"/>
      <c r="G103" s="568"/>
      <c r="H103" s="568"/>
      <c r="I103" s="568"/>
      <c r="J103" s="109">
        <v>58</v>
      </c>
      <c r="K103" s="76" t="s">
        <v>65</v>
      </c>
      <c r="L103" s="70"/>
      <c r="M103" s="70"/>
      <c r="N103" s="70"/>
      <c r="O103" s="70"/>
      <c r="P103" s="70"/>
      <c r="Q103" s="70"/>
      <c r="R103" s="70"/>
      <c r="S103" s="70"/>
      <c r="T103" s="435">
        <v>2.6767241379310347</v>
      </c>
      <c r="U103" s="435">
        <f t="shared" si="23"/>
        <v>155.25</v>
      </c>
      <c r="V103" s="435">
        <v>2.532758620689655</v>
      </c>
      <c r="W103" s="435">
        <f t="shared" si="19"/>
        <v>146.9</v>
      </c>
      <c r="X103" s="436">
        <f t="shared" si="22"/>
        <v>302.15</v>
      </c>
      <c r="Y103" s="455">
        <v>302.15</v>
      </c>
      <c r="Z103" s="455">
        <v>0</v>
      </c>
      <c r="AA103" s="64">
        <f t="shared" si="20"/>
        <v>302.15</v>
      </c>
      <c r="AB103" s="64" t="str">
        <f t="shared" si="21"/>
        <v>OK</v>
      </c>
      <c r="AC103" s="70">
        <v>2.75</v>
      </c>
      <c r="AD103" s="63"/>
      <c r="AE103" s="70">
        <v>2.6</v>
      </c>
      <c r="AF103" s="79"/>
      <c r="AG103" s="206">
        <f t="shared" si="0"/>
        <v>5.35</v>
      </c>
      <c r="AH103" s="210">
        <v>5.35</v>
      </c>
    </row>
    <row r="104" spans="1:34" s="406" customFormat="1" ht="12.75">
      <c r="A104" s="106" t="s">
        <v>360</v>
      </c>
      <c r="B104" s="107" t="s">
        <v>239</v>
      </c>
      <c r="C104" s="568" t="s">
        <v>240</v>
      </c>
      <c r="D104" s="568"/>
      <c r="E104" s="568"/>
      <c r="F104" s="568"/>
      <c r="G104" s="568"/>
      <c r="H104" s="568"/>
      <c r="I104" s="568"/>
      <c r="J104" s="109">
        <v>497.42</v>
      </c>
      <c r="K104" s="76" t="s">
        <v>65</v>
      </c>
      <c r="L104" s="70"/>
      <c r="M104" s="70"/>
      <c r="N104" s="70"/>
      <c r="O104" s="70"/>
      <c r="P104" s="70"/>
      <c r="Q104" s="70"/>
      <c r="R104" s="70"/>
      <c r="S104" s="70"/>
      <c r="T104" s="435">
        <v>7.4866310160427805</v>
      </c>
      <c r="U104" s="435">
        <f t="shared" si="23"/>
        <v>3724</v>
      </c>
      <c r="V104" s="435">
        <v>2.540810582606248</v>
      </c>
      <c r="W104" s="435">
        <f t="shared" si="19"/>
        <v>1263.85</v>
      </c>
      <c r="X104" s="436">
        <f t="shared" si="22"/>
        <v>4987.85</v>
      </c>
      <c r="Y104" s="455">
        <v>4987.85</v>
      </c>
      <c r="Z104" s="455">
        <v>0</v>
      </c>
      <c r="AA104" s="64">
        <f t="shared" si="20"/>
        <v>4987.85</v>
      </c>
      <c r="AB104" s="64" t="str">
        <f t="shared" si="21"/>
        <v>OK</v>
      </c>
      <c r="AC104" s="70">
        <v>7.69</v>
      </c>
      <c r="AD104" s="63"/>
      <c r="AE104" s="70">
        <v>2.61</v>
      </c>
      <c r="AF104" s="79"/>
      <c r="AG104" s="206">
        <f t="shared" si="0"/>
        <v>10.3</v>
      </c>
      <c r="AH104" s="210">
        <v>10.3</v>
      </c>
    </row>
    <row r="105" spans="1:34" s="406" customFormat="1" ht="19.5" customHeight="1">
      <c r="A105" s="106" t="s">
        <v>361</v>
      </c>
      <c r="B105" s="107" t="s">
        <v>177</v>
      </c>
      <c r="C105" s="568" t="s">
        <v>176</v>
      </c>
      <c r="D105" s="568"/>
      <c r="E105" s="568"/>
      <c r="F105" s="568"/>
      <c r="G105" s="568"/>
      <c r="H105" s="568"/>
      <c r="I105" s="568"/>
      <c r="J105" s="109">
        <v>6</v>
      </c>
      <c r="K105" s="76" t="s">
        <v>114</v>
      </c>
      <c r="L105" s="70"/>
      <c r="M105" s="70"/>
      <c r="N105" s="70"/>
      <c r="O105" s="70"/>
      <c r="P105" s="70"/>
      <c r="Q105" s="70"/>
      <c r="R105" s="70"/>
      <c r="S105" s="70"/>
      <c r="T105" s="435">
        <v>14.469999999999999</v>
      </c>
      <c r="U105" s="435">
        <f t="shared" si="23"/>
        <v>86.82</v>
      </c>
      <c r="V105" s="435">
        <v>8.63</v>
      </c>
      <c r="W105" s="435">
        <f t="shared" si="19"/>
        <v>51.78</v>
      </c>
      <c r="X105" s="466">
        <f t="shared" si="22"/>
        <v>138.6</v>
      </c>
      <c r="Y105" s="455">
        <v>138.59</v>
      </c>
      <c r="Z105" s="455">
        <v>0</v>
      </c>
      <c r="AA105" s="64">
        <f t="shared" si="20"/>
        <v>138.59</v>
      </c>
      <c r="AB105" s="467">
        <f t="shared" si="21"/>
        <v>0.009999999999990905</v>
      </c>
      <c r="AC105" s="70">
        <v>14.87</v>
      </c>
      <c r="AD105" s="63"/>
      <c r="AE105" s="70">
        <v>8.87</v>
      </c>
      <c r="AF105" s="79"/>
      <c r="AG105" s="206">
        <f t="shared" si="0"/>
        <v>23.74</v>
      </c>
      <c r="AH105" s="210">
        <v>23.74</v>
      </c>
    </row>
    <row r="106" spans="1:34" s="406" customFormat="1" ht="19.5" customHeight="1">
      <c r="A106" s="106" t="s">
        <v>362</v>
      </c>
      <c r="B106" s="107" t="s">
        <v>181</v>
      </c>
      <c r="C106" s="568" t="s">
        <v>178</v>
      </c>
      <c r="D106" s="568"/>
      <c r="E106" s="568"/>
      <c r="F106" s="568"/>
      <c r="G106" s="568"/>
      <c r="H106" s="568"/>
      <c r="I106" s="568"/>
      <c r="J106" s="109">
        <v>1</v>
      </c>
      <c r="K106" s="76" t="s">
        <v>114</v>
      </c>
      <c r="L106" s="70"/>
      <c r="M106" s="70"/>
      <c r="N106" s="70"/>
      <c r="O106" s="70"/>
      <c r="P106" s="70"/>
      <c r="Q106" s="70"/>
      <c r="R106" s="70"/>
      <c r="S106" s="70"/>
      <c r="T106" s="435">
        <v>13.97</v>
      </c>
      <c r="U106" s="435">
        <f t="shared" si="23"/>
        <v>13.97</v>
      </c>
      <c r="V106" s="435">
        <v>6.99</v>
      </c>
      <c r="W106" s="435">
        <f t="shared" si="19"/>
        <v>6.99</v>
      </c>
      <c r="X106" s="436">
        <f t="shared" si="22"/>
        <v>20.96</v>
      </c>
      <c r="Y106" s="455">
        <v>20.96</v>
      </c>
      <c r="Z106" s="455">
        <v>0</v>
      </c>
      <c r="AA106" s="64">
        <f t="shared" si="20"/>
        <v>20.96</v>
      </c>
      <c r="AB106" s="64" t="str">
        <f t="shared" si="21"/>
        <v>OK</v>
      </c>
      <c r="AC106" s="70">
        <v>14.35</v>
      </c>
      <c r="AD106" s="63"/>
      <c r="AE106" s="70">
        <v>7.18</v>
      </c>
      <c r="AF106" s="79"/>
      <c r="AG106" s="206">
        <f aca="true" t="shared" si="24" ref="AG106:AG157">AE106+AC106</f>
        <v>21.53</v>
      </c>
      <c r="AH106" s="210">
        <v>21.53</v>
      </c>
    </row>
    <row r="107" spans="1:34" s="406" customFormat="1" ht="19.5" customHeight="1">
      <c r="A107" s="106" t="s">
        <v>363</v>
      </c>
      <c r="B107" s="107" t="s">
        <v>180</v>
      </c>
      <c r="C107" s="568" t="s">
        <v>179</v>
      </c>
      <c r="D107" s="568"/>
      <c r="E107" s="568"/>
      <c r="F107" s="568"/>
      <c r="G107" s="568"/>
      <c r="H107" s="568"/>
      <c r="I107" s="568"/>
      <c r="J107" s="109">
        <v>3</v>
      </c>
      <c r="K107" s="76" t="s">
        <v>114</v>
      </c>
      <c r="L107" s="70"/>
      <c r="M107" s="70"/>
      <c r="N107" s="70"/>
      <c r="O107" s="70"/>
      <c r="P107" s="70"/>
      <c r="Q107" s="70"/>
      <c r="R107" s="70"/>
      <c r="S107" s="70"/>
      <c r="T107" s="435">
        <v>26.406666666666666</v>
      </c>
      <c r="U107" s="435">
        <f t="shared" si="23"/>
        <v>79.22</v>
      </c>
      <c r="V107" s="435">
        <v>16.003333333333334</v>
      </c>
      <c r="W107" s="435">
        <f t="shared" si="19"/>
        <v>48.010000000000005</v>
      </c>
      <c r="X107" s="436">
        <f t="shared" si="22"/>
        <v>127.23</v>
      </c>
      <c r="Y107" s="455">
        <v>127.23</v>
      </c>
      <c r="Z107" s="455">
        <v>0</v>
      </c>
      <c r="AA107" s="64">
        <f t="shared" si="20"/>
        <v>127.23</v>
      </c>
      <c r="AB107" s="64" t="str">
        <f t="shared" si="21"/>
        <v>OK</v>
      </c>
      <c r="AC107" s="70">
        <f>27.09+0.04</f>
        <v>27.13</v>
      </c>
      <c r="AD107" s="63"/>
      <c r="AE107" s="70">
        <v>16.44</v>
      </c>
      <c r="AF107" s="79"/>
      <c r="AG107" s="206">
        <f t="shared" si="24"/>
        <v>43.57</v>
      </c>
      <c r="AH107" s="210">
        <v>43.57</v>
      </c>
    </row>
    <row r="108" spans="1:34" s="406" customFormat="1" ht="19.5" customHeight="1">
      <c r="A108" s="106" t="s">
        <v>364</v>
      </c>
      <c r="B108" s="107" t="s">
        <v>183</v>
      </c>
      <c r="C108" s="568" t="s">
        <v>182</v>
      </c>
      <c r="D108" s="568"/>
      <c r="E108" s="568"/>
      <c r="F108" s="568"/>
      <c r="G108" s="568"/>
      <c r="H108" s="568"/>
      <c r="I108" s="568"/>
      <c r="J108" s="109">
        <v>2</v>
      </c>
      <c r="K108" s="76" t="s">
        <v>114</v>
      </c>
      <c r="L108" s="70"/>
      <c r="M108" s="70"/>
      <c r="N108" s="70"/>
      <c r="O108" s="70"/>
      <c r="P108" s="70"/>
      <c r="Q108" s="70"/>
      <c r="R108" s="70"/>
      <c r="S108" s="70"/>
      <c r="T108" s="435">
        <v>42.905</v>
      </c>
      <c r="U108" s="435">
        <f t="shared" si="23"/>
        <v>85.81</v>
      </c>
      <c r="V108" s="435">
        <v>8.03</v>
      </c>
      <c r="W108" s="435">
        <f t="shared" si="19"/>
        <v>16.06</v>
      </c>
      <c r="X108" s="436">
        <f t="shared" si="22"/>
        <v>101.87</v>
      </c>
      <c r="Y108" s="455">
        <v>101.87</v>
      </c>
      <c r="Z108" s="455">
        <v>0</v>
      </c>
      <c r="AA108" s="64">
        <f t="shared" si="20"/>
        <v>101.87</v>
      </c>
      <c r="AB108" s="64" t="str">
        <f t="shared" si="21"/>
        <v>OK</v>
      </c>
      <c r="AC108" s="70">
        <f>44.08+0.01</f>
        <v>44.089999999999996</v>
      </c>
      <c r="AD108" s="63"/>
      <c r="AE108" s="70">
        <v>8.25</v>
      </c>
      <c r="AF108" s="79"/>
      <c r="AG108" s="206">
        <f t="shared" si="24"/>
        <v>52.339999999999996</v>
      </c>
      <c r="AH108" s="210">
        <v>52.34</v>
      </c>
    </row>
    <row r="109" spans="1:34" s="406" customFormat="1" ht="19.5" customHeight="1">
      <c r="A109" s="106" t="s">
        <v>522</v>
      </c>
      <c r="B109" s="107" t="s">
        <v>469</v>
      </c>
      <c r="C109" s="568" t="s">
        <v>470</v>
      </c>
      <c r="D109" s="568"/>
      <c r="E109" s="568"/>
      <c r="F109" s="568"/>
      <c r="G109" s="568"/>
      <c r="H109" s="568"/>
      <c r="I109" s="568"/>
      <c r="J109" s="109">
        <v>335.75</v>
      </c>
      <c r="K109" s="76" t="s">
        <v>65</v>
      </c>
      <c r="L109" s="70"/>
      <c r="M109" s="70"/>
      <c r="N109" s="70"/>
      <c r="O109" s="70"/>
      <c r="P109" s="70"/>
      <c r="Q109" s="70"/>
      <c r="R109" s="70"/>
      <c r="S109" s="70"/>
      <c r="T109" s="435">
        <v>0.12783320923306032</v>
      </c>
      <c r="U109" s="435">
        <f t="shared" si="23"/>
        <v>42.92</v>
      </c>
      <c r="V109" s="435">
        <v>0.30361876396128074</v>
      </c>
      <c r="W109" s="435">
        <f t="shared" si="19"/>
        <v>101.94000000000001</v>
      </c>
      <c r="X109" s="436">
        <f t="shared" si="22"/>
        <v>144.86</v>
      </c>
      <c r="Y109" s="455">
        <v>144.86</v>
      </c>
      <c r="Z109" s="455">
        <v>0</v>
      </c>
      <c r="AA109" s="64">
        <f t="shared" si="20"/>
        <v>144.86</v>
      </c>
      <c r="AB109" s="64" t="str">
        <f t="shared" si="21"/>
        <v>OK</v>
      </c>
      <c r="AC109" s="70">
        <v>0.13</v>
      </c>
      <c r="AD109" s="63"/>
      <c r="AE109" s="70">
        <v>0.31</v>
      </c>
      <c r="AF109" s="79"/>
      <c r="AG109" s="206">
        <f t="shared" si="24"/>
        <v>0.44</v>
      </c>
      <c r="AH109" s="210">
        <v>0.44</v>
      </c>
    </row>
    <row r="110" spans="1:34" s="407" customFormat="1" ht="12.75">
      <c r="A110" s="123">
        <v>8</v>
      </c>
      <c r="B110" s="575" t="s">
        <v>184</v>
      </c>
      <c r="C110" s="575"/>
      <c r="D110" s="575"/>
      <c r="E110" s="575"/>
      <c r="F110" s="575"/>
      <c r="G110" s="575"/>
      <c r="H110" s="575"/>
      <c r="I110" s="575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437"/>
      <c r="U110" s="433">
        <f>SUM(U111:U131)</f>
        <v>9248.991</v>
      </c>
      <c r="V110" s="437"/>
      <c r="W110" s="433">
        <f>SUM(W111:W131)</f>
        <v>2912.88</v>
      </c>
      <c r="X110" s="434">
        <f>U110+W110</f>
        <v>12161.871</v>
      </c>
      <c r="Y110" s="454"/>
      <c r="Z110" s="454"/>
      <c r="AA110" s="454"/>
      <c r="AB110" s="408"/>
      <c r="AC110" s="207" t="s">
        <v>395</v>
      </c>
      <c r="AD110" s="115"/>
      <c r="AE110" s="207" t="s">
        <v>396</v>
      </c>
      <c r="AF110" s="114"/>
      <c r="AG110" s="205" t="s">
        <v>486</v>
      </c>
      <c r="AH110" s="209" t="s">
        <v>492</v>
      </c>
    </row>
    <row r="111" spans="1:34" s="406" customFormat="1" ht="19.5" customHeight="1">
      <c r="A111" s="106" t="s">
        <v>314</v>
      </c>
      <c r="B111" s="107" t="s">
        <v>188</v>
      </c>
      <c r="C111" s="568" t="s">
        <v>185</v>
      </c>
      <c r="D111" s="568"/>
      <c r="E111" s="568"/>
      <c r="F111" s="568"/>
      <c r="G111" s="568"/>
      <c r="H111" s="568"/>
      <c r="I111" s="568"/>
      <c r="J111" s="109">
        <v>0</v>
      </c>
      <c r="K111" s="76" t="s">
        <v>65</v>
      </c>
      <c r="L111" s="70"/>
      <c r="M111" s="70"/>
      <c r="N111" s="70"/>
      <c r="O111" s="70"/>
      <c r="P111" s="70"/>
      <c r="Q111" s="70"/>
      <c r="R111" s="70"/>
      <c r="S111" s="70"/>
      <c r="T111" s="435">
        <v>5.521604938271604</v>
      </c>
      <c r="U111" s="435">
        <f aca="true" t="shared" si="25" ref="U111:U131">J111*T111</f>
        <v>0</v>
      </c>
      <c r="V111" s="435">
        <v>8.302469135802468</v>
      </c>
      <c r="W111" s="435">
        <f aca="true" t="shared" si="26" ref="W111:W131">(V111*J111)</f>
        <v>0</v>
      </c>
      <c r="X111" s="436">
        <f>ROUND(U111+W111,2)</f>
        <v>0</v>
      </c>
      <c r="Y111" s="455">
        <v>44.79</v>
      </c>
      <c r="Z111" s="455">
        <v>44.78</v>
      </c>
      <c r="AA111" s="64">
        <f aca="true" t="shared" si="27" ref="AA111:AA131">IF((Y111=Z111),0,(Y111-Z111))</f>
        <v>0.00999999999999801</v>
      </c>
      <c r="AB111" s="467">
        <f aca="true" t="shared" si="28" ref="AB111:AB131">IF((X111=AA111),"OK",(X111-AA111))</f>
        <v>-0.00999999999999801</v>
      </c>
      <c r="AC111" s="70">
        <f>5.65+0.02</f>
        <v>5.67</v>
      </c>
      <c r="AD111" s="63"/>
      <c r="AE111" s="70">
        <v>8.53</v>
      </c>
      <c r="AF111" s="79"/>
      <c r="AG111" s="206">
        <f t="shared" si="24"/>
        <v>14.2</v>
      </c>
      <c r="AH111" s="210">
        <v>14.2</v>
      </c>
    </row>
    <row r="112" spans="1:34" s="406" customFormat="1" ht="19.5" customHeight="1">
      <c r="A112" s="106" t="s">
        <v>365</v>
      </c>
      <c r="B112" s="107" t="s">
        <v>187</v>
      </c>
      <c r="C112" s="568" t="s">
        <v>186</v>
      </c>
      <c r="D112" s="568"/>
      <c r="E112" s="568"/>
      <c r="F112" s="568"/>
      <c r="G112" s="568"/>
      <c r="H112" s="568"/>
      <c r="I112" s="568"/>
      <c r="J112" s="109">
        <v>0</v>
      </c>
      <c r="K112" s="76" t="s">
        <v>65</v>
      </c>
      <c r="L112" s="70"/>
      <c r="M112" s="70"/>
      <c r="N112" s="70"/>
      <c r="O112" s="70"/>
      <c r="P112" s="70"/>
      <c r="Q112" s="70"/>
      <c r="R112" s="70"/>
      <c r="S112" s="70"/>
      <c r="T112" s="435">
        <v>9.10043352601156</v>
      </c>
      <c r="U112" s="435">
        <f t="shared" si="25"/>
        <v>0</v>
      </c>
      <c r="V112" s="435">
        <v>0.5195086705202312</v>
      </c>
      <c r="W112" s="435">
        <f t="shared" si="26"/>
        <v>0</v>
      </c>
      <c r="X112" s="436">
        <f aca="true" t="shared" si="29" ref="X112:X131">ROUND(U112+W112,2)</f>
        <v>0</v>
      </c>
      <c r="Y112" s="455">
        <v>266.28</v>
      </c>
      <c r="Z112" s="455">
        <v>266.28</v>
      </c>
      <c r="AA112" s="64">
        <f t="shared" si="27"/>
        <v>0</v>
      </c>
      <c r="AB112" s="64" t="str">
        <f t="shared" si="28"/>
        <v>OK</v>
      </c>
      <c r="AC112" s="70">
        <v>9.35</v>
      </c>
      <c r="AD112" s="63"/>
      <c r="AE112" s="70">
        <v>0.53</v>
      </c>
      <c r="AF112" s="79"/>
      <c r="AG112" s="206">
        <f t="shared" si="24"/>
        <v>9.879999999999999</v>
      </c>
      <c r="AH112" s="210">
        <v>9.88</v>
      </c>
    </row>
    <row r="113" spans="1:34" s="406" customFormat="1" ht="19.5" customHeight="1">
      <c r="A113" s="106" t="s">
        <v>366</v>
      </c>
      <c r="B113" s="107" t="s">
        <v>190</v>
      </c>
      <c r="C113" s="568" t="s">
        <v>189</v>
      </c>
      <c r="D113" s="568"/>
      <c r="E113" s="568"/>
      <c r="F113" s="568"/>
      <c r="G113" s="568"/>
      <c r="H113" s="568"/>
      <c r="I113" s="568"/>
      <c r="J113" s="109">
        <v>0</v>
      </c>
      <c r="K113" s="76" t="s">
        <v>65</v>
      </c>
      <c r="L113" s="70"/>
      <c r="M113" s="70"/>
      <c r="N113" s="70"/>
      <c r="O113" s="70"/>
      <c r="P113" s="70"/>
      <c r="Q113" s="70"/>
      <c r="R113" s="70"/>
      <c r="S113" s="70"/>
      <c r="T113" s="435">
        <v>5.361471861471861</v>
      </c>
      <c r="U113" s="435">
        <f t="shared" si="25"/>
        <v>0</v>
      </c>
      <c r="V113" s="465">
        <v>6.774891774891775</v>
      </c>
      <c r="W113" s="435">
        <f t="shared" si="26"/>
        <v>0</v>
      </c>
      <c r="X113" s="436">
        <f t="shared" si="29"/>
        <v>0</v>
      </c>
      <c r="Y113" s="455">
        <v>56.07</v>
      </c>
      <c r="Z113" s="455">
        <v>56.07</v>
      </c>
      <c r="AA113" s="64">
        <f t="shared" si="27"/>
        <v>0</v>
      </c>
      <c r="AB113" s="64" t="str">
        <f t="shared" si="28"/>
        <v>OK</v>
      </c>
      <c r="AC113" s="70">
        <v>5.51</v>
      </c>
      <c r="AD113" s="63"/>
      <c r="AE113" s="70">
        <v>6.96</v>
      </c>
      <c r="AF113" s="79"/>
      <c r="AG113" s="206">
        <f t="shared" si="24"/>
        <v>12.469999999999999</v>
      </c>
      <c r="AH113" s="210">
        <v>12.47</v>
      </c>
    </row>
    <row r="114" spans="1:34" s="406" customFormat="1" ht="19.5" customHeight="1">
      <c r="A114" s="106" t="s">
        <v>367</v>
      </c>
      <c r="B114" s="107" t="s">
        <v>192</v>
      </c>
      <c r="C114" s="568" t="s">
        <v>191</v>
      </c>
      <c r="D114" s="568"/>
      <c r="E114" s="568"/>
      <c r="F114" s="568"/>
      <c r="G114" s="568"/>
      <c r="H114" s="568"/>
      <c r="I114" s="568"/>
      <c r="J114" s="109">
        <v>0</v>
      </c>
      <c r="K114" s="76" t="s">
        <v>65</v>
      </c>
      <c r="L114" s="70"/>
      <c r="M114" s="70"/>
      <c r="N114" s="70"/>
      <c r="O114" s="70"/>
      <c r="P114" s="70"/>
      <c r="Q114" s="70"/>
      <c r="R114" s="70"/>
      <c r="S114" s="70"/>
      <c r="T114" s="435">
        <v>9.42686567164179</v>
      </c>
      <c r="U114" s="435">
        <f t="shared" si="25"/>
        <v>0</v>
      </c>
      <c r="V114" s="435">
        <v>8.486567164179105</v>
      </c>
      <c r="W114" s="435">
        <f t="shared" si="26"/>
        <v>0</v>
      </c>
      <c r="X114" s="436">
        <f t="shared" si="29"/>
        <v>0</v>
      </c>
      <c r="Y114" s="455">
        <v>60.01</v>
      </c>
      <c r="Z114" s="455">
        <v>60.01</v>
      </c>
      <c r="AA114" s="64">
        <f t="shared" si="27"/>
        <v>0</v>
      </c>
      <c r="AB114" s="64" t="str">
        <f t="shared" si="28"/>
        <v>OK</v>
      </c>
      <c r="AC114" s="70">
        <f>9.67+0.02</f>
        <v>9.69</v>
      </c>
      <c r="AD114" s="63"/>
      <c r="AE114" s="70">
        <v>8.72</v>
      </c>
      <c r="AF114" s="79"/>
      <c r="AG114" s="206">
        <f t="shared" si="24"/>
        <v>18.41</v>
      </c>
      <c r="AH114" s="210">
        <v>18.41</v>
      </c>
    </row>
    <row r="115" spans="1:34" s="406" customFormat="1" ht="19.5" customHeight="1">
      <c r="A115" s="106" t="s">
        <v>368</v>
      </c>
      <c r="B115" s="107" t="s">
        <v>193</v>
      </c>
      <c r="C115" s="568" t="s">
        <v>194</v>
      </c>
      <c r="D115" s="568"/>
      <c r="E115" s="568"/>
      <c r="F115" s="568"/>
      <c r="G115" s="568"/>
      <c r="H115" s="568"/>
      <c r="I115" s="568"/>
      <c r="J115" s="109">
        <v>0</v>
      </c>
      <c r="K115" s="76" t="s">
        <v>65</v>
      </c>
      <c r="L115" s="70"/>
      <c r="M115" s="70"/>
      <c r="N115" s="70"/>
      <c r="O115" s="70"/>
      <c r="P115" s="70"/>
      <c r="Q115" s="70"/>
      <c r="R115" s="70"/>
      <c r="S115" s="70"/>
      <c r="T115" s="435">
        <v>17.881706528765353</v>
      </c>
      <c r="U115" s="435">
        <f t="shared" si="25"/>
        <v>0</v>
      </c>
      <c r="V115" s="435">
        <v>16.49935358758888</v>
      </c>
      <c r="W115" s="435">
        <f t="shared" si="26"/>
        <v>0</v>
      </c>
      <c r="X115" s="436">
        <f t="shared" si="29"/>
        <v>0</v>
      </c>
      <c r="Y115" s="455">
        <v>1063.75</v>
      </c>
      <c r="Z115" s="455">
        <v>1063.75</v>
      </c>
      <c r="AA115" s="64">
        <f t="shared" si="27"/>
        <v>0</v>
      </c>
      <c r="AB115" s="64" t="str">
        <f t="shared" si="28"/>
        <v>OK</v>
      </c>
      <c r="AC115" s="70">
        <f>18.31+0.06</f>
        <v>18.369999999999997</v>
      </c>
      <c r="AD115" s="63"/>
      <c r="AE115" s="70">
        <v>16.95</v>
      </c>
      <c r="AF115" s="79"/>
      <c r="AG115" s="206">
        <f t="shared" si="24"/>
        <v>35.31999999999999</v>
      </c>
      <c r="AH115" s="210">
        <v>35.32</v>
      </c>
    </row>
    <row r="116" spans="1:34" s="406" customFormat="1" ht="19.5" customHeight="1">
      <c r="A116" s="106" t="s">
        <v>369</v>
      </c>
      <c r="B116" s="107" t="s">
        <v>196</v>
      </c>
      <c r="C116" s="568" t="s">
        <v>195</v>
      </c>
      <c r="D116" s="568"/>
      <c r="E116" s="568"/>
      <c r="F116" s="568"/>
      <c r="G116" s="568"/>
      <c r="H116" s="568"/>
      <c r="I116" s="568"/>
      <c r="J116" s="109">
        <f>4-3</f>
        <v>1</v>
      </c>
      <c r="K116" s="76" t="s">
        <v>114</v>
      </c>
      <c r="L116" s="70"/>
      <c r="M116" s="70"/>
      <c r="N116" s="70"/>
      <c r="O116" s="70"/>
      <c r="P116" s="70"/>
      <c r="Q116" s="70"/>
      <c r="R116" s="70"/>
      <c r="S116" s="70"/>
      <c r="T116" s="435">
        <v>146.68</v>
      </c>
      <c r="U116" s="435">
        <f t="shared" si="25"/>
        <v>146.68</v>
      </c>
      <c r="V116" s="435">
        <v>56.89</v>
      </c>
      <c r="W116" s="435">
        <f t="shared" si="26"/>
        <v>56.89</v>
      </c>
      <c r="X116" s="436">
        <f t="shared" si="29"/>
        <v>203.57</v>
      </c>
      <c r="Y116" s="455">
        <v>814.28</v>
      </c>
      <c r="Z116" s="455">
        <v>610.71</v>
      </c>
      <c r="AA116" s="64">
        <f t="shared" si="27"/>
        <v>203.56999999999994</v>
      </c>
      <c r="AB116" s="64" t="str">
        <f t="shared" si="28"/>
        <v>OK</v>
      </c>
      <c r="AC116" s="70">
        <f>150.47+0.24</f>
        <v>150.71</v>
      </c>
      <c r="AD116" s="63"/>
      <c r="AE116" s="70">
        <v>58.45</v>
      </c>
      <c r="AF116" s="79"/>
      <c r="AG116" s="206">
        <f t="shared" si="24"/>
        <v>209.16000000000003</v>
      </c>
      <c r="AH116" s="210">
        <v>209.16</v>
      </c>
    </row>
    <row r="117" spans="1:34" s="406" customFormat="1" ht="30" customHeight="1">
      <c r="A117" s="106" t="s">
        <v>370</v>
      </c>
      <c r="B117" s="107" t="s">
        <v>225</v>
      </c>
      <c r="C117" s="569" t="s">
        <v>224</v>
      </c>
      <c r="D117" s="570"/>
      <c r="E117" s="570"/>
      <c r="F117" s="570"/>
      <c r="G117" s="570"/>
      <c r="H117" s="570"/>
      <c r="I117" s="571"/>
      <c r="J117" s="109">
        <v>3</v>
      </c>
      <c r="K117" s="76" t="s">
        <v>114</v>
      </c>
      <c r="L117" s="70"/>
      <c r="M117" s="70"/>
      <c r="N117" s="70"/>
      <c r="O117" s="70"/>
      <c r="P117" s="70"/>
      <c r="Q117" s="70"/>
      <c r="R117" s="70"/>
      <c r="S117" s="70"/>
      <c r="T117" s="435">
        <v>61.60333333333333</v>
      </c>
      <c r="U117" s="435">
        <f t="shared" si="25"/>
        <v>184.81</v>
      </c>
      <c r="V117" s="435">
        <v>17.18</v>
      </c>
      <c r="W117" s="435">
        <f t="shared" si="26"/>
        <v>51.54</v>
      </c>
      <c r="X117" s="466">
        <f t="shared" si="29"/>
        <v>236.35</v>
      </c>
      <c r="Y117" s="455">
        <v>236.34</v>
      </c>
      <c r="Z117" s="455">
        <v>0</v>
      </c>
      <c r="AA117" s="64">
        <f t="shared" si="27"/>
        <v>236.34</v>
      </c>
      <c r="AB117" s="467">
        <f t="shared" si="28"/>
        <v>0.009999999999990905</v>
      </c>
      <c r="AC117" s="70">
        <f>63.24+0.06</f>
        <v>63.300000000000004</v>
      </c>
      <c r="AD117" s="63"/>
      <c r="AE117" s="70">
        <v>17.65</v>
      </c>
      <c r="AF117" s="79"/>
      <c r="AG117" s="206">
        <f t="shared" si="24"/>
        <v>80.95</v>
      </c>
      <c r="AH117" s="210">
        <v>80.95</v>
      </c>
    </row>
    <row r="118" spans="1:34" s="406" customFormat="1" ht="30" customHeight="1">
      <c r="A118" s="106" t="s">
        <v>371</v>
      </c>
      <c r="B118" s="107" t="s">
        <v>198</v>
      </c>
      <c r="C118" s="568" t="s">
        <v>197</v>
      </c>
      <c r="D118" s="568"/>
      <c r="E118" s="568"/>
      <c r="F118" s="568"/>
      <c r="G118" s="568"/>
      <c r="H118" s="568"/>
      <c r="I118" s="568"/>
      <c r="J118" s="109">
        <v>1</v>
      </c>
      <c r="K118" s="76" t="s">
        <v>114</v>
      </c>
      <c r="L118" s="70"/>
      <c r="M118" s="70"/>
      <c r="N118" s="70"/>
      <c r="O118" s="70"/>
      <c r="P118" s="70"/>
      <c r="Q118" s="70"/>
      <c r="R118" s="70"/>
      <c r="S118" s="70"/>
      <c r="T118" s="435">
        <v>82.15</v>
      </c>
      <c r="U118" s="435">
        <f t="shared" si="25"/>
        <v>82.15</v>
      </c>
      <c r="V118" s="435">
        <v>17.48</v>
      </c>
      <c r="W118" s="435">
        <f t="shared" si="26"/>
        <v>17.48</v>
      </c>
      <c r="X118" s="436">
        <f t="shared" si="29"/>
        <v>99.63</v>
      </c>
      <c r="Y118" s="455">
        <v>99.63</v>
      </c>
      <c r="Z118" s="455">
        <v>0</v>
      </c>
      <c r="AA118" s="64">
        <f t="shared" si="27"/>
        <v>99.63</v>
      </c>
      <c r="AB118" s="64" t="str">
        <f t="shared" si="28"/>
        <v>OK</v>
      </c>
      <c r="AC118" s="70">
        <f>84.34+0.06</f>
        <v>84.4</v>
      </c>
      <c r="AD118" s="63"/>
      <c r="AE118" s="70">
        <v>17.96</v>
      </c>
      <c r="AF118" s="79"/>
      <c r="AG118" s="206">
        <f t="shared" si="24"/>
        <v>102.36000000000001</v>
      </c>
      <c r="AH118" s="210">
        <v>102.36</v>
      </c>
    </row>
    <row r="119" spans="1:34" s="406" customFormat="1" ht="19.5" customHeight="1">
      <c r="A119" s="106" t="s">
        <v>372</v>
      </c>
      <c r="B119" s="107" t="s">
        <v>200</v>
      </c>
      <c r="C119" s="569" t="s">
        <v>199</v>
      </c>
      <c r="D119" s="570"/>
      <c r="E119" s="570"/>
      <c r="F119" s="570"/>
      <c r="G119" s="570"/>
      <c r="H119" s="570"/>
      <c r="I119" s="571"/>
      <c r="J119" s="109">
        <v>1</v>
      </c>
      <c r="K119" s="76" t="s">
        <v>114</v>
      </c>
      <c r="L119" s="70"/>
      <c r="M119" s="70"/>
      <c r="N119" s="70"/>
      <c r="O119" s="70"/>
      <c r="P119" s="70"/>
      <c r="Q119" s="70"/>
      <c r="R119" s="70"/>
      <c r="S119" s="70"/>
      <c r="T119" s="435">
        <v>71.76</v>
      </c>
      <c r="U119" s="435">
        <f t="shared" si="25"/>
        <v>71.76</v>
      </c>
      <c r="V119" s="435">
        <v>37.76</v>
      </c>
      <c r="W119" s="435">
        <f t="shared" si="26"/>
        <v>37.76</v>
      </c>
      <c r="X119" s="436">
        <f t="shared" si="29"/>
        <v>109.52</v>
      </c>
      <c r="Y119" s="455">
        <v>109.52</v>
      </c>
      <c r="Z119" s="455">
        <v>0</v>
      </c>
      <c r="AA119" s="64">
        <f t="shared" si="27"/>
        <v>109.52</v>
      </c>
      <c r="AB119" s="64" t="str">
        <f t="shared" si="28"/>
        <v>OK</v>
      </c>
      <c r="AC119" s="70">
        <f>73.57+0.16</f>
        <v>73.72999999999999</v>
      </c>
      <c r="AD119" s="63"/>
      <c r="AE119" s="70">
        <v>38.8</v>
      </c>
      <c r="AF119" s="79"/>
      <c r="AG119" s="206">
        <f t="shared" si="24"/>
        <v>112.52999999999999</v>
      </c>
      <c r="AH119" s="210">
        <v>112.53</v>
      </c>
    </row>
    <row r="120" spans="1:34" s="406" customFormat="1" ht="19.5" customHeight="1">
      <c r="A120" s="106" t="s">
        <v>373</v>
      </c>
      <c r="B120" s="107" t="s">
        <v>201</v>
      </c>
      <c r="C120" s="568" t="s">
        <v>242</v>
      </c>
      <c r="D120" s="568"/>
      <c r="E120" s="568"/>
      <c r="F120" s="568"/>
      <c r="G120" s="568"/>
      <c r="H120" s="568"/>
      <c r="I120" s="568"/>
      <c r="J120" s="109">
        <v>0</v>
      </c>
      <c r="K120" s="76" t="s">
        <v>114</v>
      </c>
      <c r="L120" s="70"/>
      <c r="M120" s="70"/>
      <c r="N120" s="70"/>
      <c r="O120" s="70"/>
      <c r="P120" s="70"/>
      <c r="Q120" s="70"/>
      <c r="R120" s="70"/>
      <c r="S120" s="70"/>
      <c r="T120" s="435">
        <v>2335.51</v>
      </c>
      <c r="U120" s="435">
        <f t="shared" si="25"/>
        <v>0</v>
      </c>
      <c r="V120" s="435">
        <v>290.5</v>
      </c>
      <c r="W120" s="435">
        <f t="shared" si="26"/>
        <v>0</v>
      </c>
      <c r="X120" s="436">
        <f t="shared" si="29"/>
        <v>0</v>
      </c>
      <c r="Y120" s="455">
        <v>2626.01</v>
      </c>
      <c r="Z120" s="455">
        <v>2626.01</v>
      </c>
      <c r="AA120" s="64">
        <f t="shared" si="27"/>
        <v>0</v>
      </c>
      <c r="AB120" s="64" t="str">
        <f t="shared" si="28"/>
        <v>OK</v>
      </c>
      <c r="AC120" s="70">
        <f>2346.24+52.28+1.2</f>
        <v>2399.72</v>
      </c>
      <c r="AD120" s="63"/>
      <c r="AE120" s="70">
        <v>298.49</v>
      </c>
      <c r="AF120" s="79"/>
      <c r="AG120" s="206">
        <f t="shared" si="24"/>
        <v>2698.21</v>
      </c>
      <c r="AH120" s="216">
        <v>2698.21</v>
      </c>
    </row>
    <row r="121" spans="1:34" s="406" customFormat="1" ht="19.5" customHeight="1">
      <c r="A121" s="106" t="s">
        <v>374</v>
      </c>
      <c r="B121" s="107" t="s">
        <v>246</v>
      </c>
      <c r="C121" s="568" t="s">
        <v>243</v>
      </c>
      <c r="D121" s="568"/>
      <c r="E121" s="568"/>
      <c r="F121" s="568"/>
      <c r="G121" s="568"/>
      <c r="H121" s="568"/>
      <c r="I121" s="568"/>
      <c r="J121" s="109">
        <v>0</v>
      </c>
      <c r="K121" s="76" t="s">
        <v>114</v>
      </c>
      <c r="L121" s="70"/>
      <c r="M121" s="70"/>
      <c r="N121" s="70"/>
      <c r="O121" s="70"/>
      <c r="P121" s="70"/>
      <c r="Q121" s="70"/>
      <c r="R121" s="70"/>
      <c r="S121" s="70"/>
      <c r="T121" s="435">
        <v>2613.53</v>
      </c>
      <c r="U121" s="435">
        <f t="shared" si="25"/>
        <v>0</v>
      </c>
      <c r="V121" s="435">
        <v>1661.97</v>
      </c>
      <c r="W121" s="435">
        <f t="shared" si="26"/>
        <v>0</v>
      </c>
      <c r="X121" s="436">
        <f t="shared" si="29"/>
        <v>0</v>
      </c>
      <c r="Y121" s="455">
        <v>4275.5</v>
      </c>
      <c r="Z121" s="455">
        <v>4275.5</v>
      </c>
      <c r="AA121" s="64">
        <f t="shared" si="27"/>
        <v>0</v>
      </c>
      <c r="AB121" s="64" t="str">
        <f t="shared" si="28"/>
        <v>OK</v>
      </c>
      <c r="AC121" s="70">
        <f>2617.45+61.7+6.24</f>
        <v>2685.3899999999994</v>
      </c>
      <c r="AD121" s="63"/>
      <c r="AE121" s="70">
        <v>1707.66</v>
      </c>
      <c r="AF121" s="79"/>
      <c r="AG121" s="206">
        <f t="shared" si="24"/>
        <v>4393.049999999999</v>
      </c>
      <c r="AH121" s="216">
        <v>4393.05</v>
      </c>
    </row>
    <row r="122" spans="1:34" s="406" customFormat="1" ht="19.5" customHeight="1">
      <c r="A122" s="106" t="s">
        <v>375</v>
      </c>
      <c r="B122" s="107" t="s">
        <v>245</v>
      </c>
      <c r="C122" s="568" t="s">
        <v>244</v>
      </c>
      <c r="D122" s="568"/>
      <c r="E122" s="568"/>
      <c r="F122" s="568"/>
      <c r="G122" s="568"/>
      <c r="H122" s="568"/>
      <c r="I122" s="568"/>
      <c r="J122" s="109">
        <v>1</v>
      </c>
      <c r="K122" s="76" t="s">
        <v>114</v>
      </c>
      <c r="L122" s="70"/>
      <c r="M122" s="70"/>
      <c r="N122" s="70"/>
      <c r="O122" s="70"/>
      <c r="P122" s="70"/>
      <c r="Q122" s="70"/>
      <c r="R122" s="70"/>
      <c r="S122" s="70"/>
      <c r="T122" s="435">
        <v>2886.24</v>
      </c>
      <c r="U122" s="435">
        <f t="shared" si="25"/>
        <v>2886.24</v>
      </c>
      <c r="V122" s="435">
        <v>1936.49</v>
      </c>
      <c r="W122" s="435">
        <f t="shared" si="26"/>
        <v>1936.49</v>
      </c>
      <c r="X122" s="466">
        <f t="shared" si="29"/>
        <v>4822.73</v>
      </c>
      <c r="Y122" s="455">
        <v>4822.72</v>
      </c>
      <c r="Z122" s="455">
        <v>0</v>
      </c>
      <c r="AA122" s="64">
        <f t="shared" si="27"/>
        <v>4822.72</v>
      </c>
      <c r="AB122" s="467">
        <f t="shared" si="28"/>
        <v>0.009999999999308784</v>
      </c>
      <c r="AC122" s="70">
        <f>2919.11+42.45+4.03</f>
        <v>2965.59</v>
      </c>
      <c r="AD122" s="63"/>
      <c r="AE122" s="70">
        <v>1989.73</v>
      </c>
      <c r="AF122" s="79"/>
      <c r="AG122" s="206">
        <f t="shared" si="24"/>
        <v>4955.32</v>
      </c>
      <c r="AH122" s="216">
        <v>4955.32</v>
      </c>
    </row>
    <row r="123" spans="1:34" s="406" customFormat="1" ht="19.5" customHeight="1">
      <c r="A123" s="106" t="s">
        <v>376</v>
      </c>
      <c r="B123" s="107" t="s">
        <v>203</v>
      </c>
      <c r="C123" s="568" t="s">
        <v>202</v>
      </c>
      <c r="D123" s="568"/>
      <c r="E123" s="568"/>
      <c r="F123" s="568"/>
      <c r="G123" s="568"/>
      <c r="H123" s="568"/>
      <c r="I123" s="568"/>
      <c r="J123" s="109">
        <v>6</v>
      </c>
      <c r="K123" s="76" t="s">
        <v>114</v>
      </c>
      <c r="L123" s="70"/>
      <c r="M123" s="70"/>
      <c r="N123" s="70"/>
      <c r="O123" s="70"/>
      <c r="P123" s="70"/>
      <c r="Q123" s="70"/>
      <c r="R123" s="70"/>
      <c r="S123" s="70"/>
      <c r="T123" s="435">
        <v>353.3416666666667</v>
      </c>
      <c r="U123" s="435">
        <f t="shared" si="25"/>
        <v>2120.05</v>
      </c>
      <c r="V123" s="435">
        <v>14.565</v>
      </c>
      <c r="W123" s="435">
        <f t="shared" si="26"/>
        <v>87.39</v>
      </c>
      <c r="X123" s="466">
        <f t="shared" si="29"/>
        <v>2207.44</v>
      </c>
      <c r="Y123" s="455">
        <v>2207.45</v>
      </c>
      <c r="Z123" s="455">
        <v>0</v>
      </c>
      <c r="AA123" s="64">
        <f t="shared" si="27"/>
        <v>2207.45</v>
      </c>
      <c r="AB123" s="467">
        <f t="shared" si="28"/>
        <v>-0.009999999999763531</v>
      </c>
      <c r="AC123" s="70">
        <f>363.02+0.04</f>
        <v>363.06</v>
      </c>
      <c r="AD123" s="63"/>
      <c r="AE123" s="70">
        <v>14.97</v>
      </c>
      <c r="AF123" s="79"/>
      <c r="AG123" s="206">
        <f t="shared" si="24"/>
        <v>378.03000000000003</v>
      </c>
      <c r="AH123" s="210">
        <v>378.03</v>
      </c>
    </row>
    <row r="124" spans="1:34" s="406" customFormat="1" ht="19.5" customHeight="1">
      <c r="A124" s="106" t="s">
        <v>377</v>
      </c>
      <c r="B124" s="107" t="s">
        <v>205</v>
      </c>
      <c r="C124" s="568" t="s">
        <v>204</v>
      </c>
      <c r="D124" s="568"/>
      <c r="E124" s="568"/>
      <c r="F124" s="568"/>
      <c r="G124" s="568"/>
      <c r="H124" s="568"/>
      <c r="I124" s="568"/>
      <c r="J124" s="109">
        <v>6</v>
      </c>
      <c r="K124" s="76" t="s">
        <v>114</v>
      </c>
      <c r="L124" s="70"/>
      <c r="M124" s="70"/>
      <c r="N124" s="70"/>
      <c r="O124" s="70"/>
      <c r="P124" s="70"/>
      <c r="Q124" s="70"/>
      <c r="R124" s="70"/>
      <c r="S124" s="70"/>
      <c r="T124" s="435">
        <v>179.135</v>
      </c>
      <c r="U124" s="435">
        <f t="shared" si="25"/>
        <v>1074.81</v>
      </c>
      <c r="V124" s="435">
        <v>16.395</v>
      </c>
      <c r="W124" s="435">
        <f t="shared" si="26"/>
        <v>98.37</v>
      </c>
      <c r="X124" s="466">
        <f t="shared" si="29"/>
        <v>1173.18</v>
      </c>
      <c r="Y124" s="455">
        <v>1173.19</v>
      </c>
      <c r="Z124" s="455">
        <v>0</v>
      </c>
      <c r="AA124" s="64">
        <f t="shared" si="27"/>
        <v>1173.19</v>
      </c>
      <c r="AB124" s="467">
        <f t="shared" si="28"/>
        <v>-0.009999999999990905</v>
      </c>
      <c r="AC124" s="70">
        <f>184.02+0.04</f>
        <v>184.06</v>
      </c>
      <c r="AD124" s="63"/>
      <c r="AE124" s="70">
        <v>16.85</v>
      </c>
      <c r="AF124" s="79"/>
      <c r="AG124" s="206">
        <f t="shared" si="24"/>
        <v>200.91</v>
      </c>
      <c r="AH124" s="210">
        <v>200.91</v>
      </c>
    </row>
    <row r="125" spans="1:34" s="406" customFormat="1" ht="19.5" customHeight="1">
      <c r="A125" s="106" t="s">
        <v>378</v>
      </c>
      <c r="B125" s="107" t="s">
        <v>207</v>
      </c>
      <c r="C125" s="568" t="s">
        <v>206</v>
      </c>
      <c r="D125" s="568"/>
      <c r="E125" s="568"/>
      <c r="F125" s="568"/>
      <c r="G125" s="568"/>
      <c r="H125" s="568"/>
      <c r="I125" s="568"/>
      <c r="J125" s="109">
        <v>6</v>
      </c>
      <c r="K125" s="76" t="s">
        <v>114</v>
      </c>
      <c r="L125" s="70"/>
      <c r="M125" s="70"/>
      <c r="N125" s="70"/>
      <c r="O125" s="70"/>
      <c r="P125" s="70"/>
      <c r="Q125" s="70"/>
      <c r="R125" s="70"/>
      <c r="S125" s="70"/>
      <c r="T125" s="435">
        <v>61.011833333333335</v>
      </c>
      <c r="U125" s="435">
        <f t="shared" si="25"/>
        <v>366.071</v>
      </c>
      <c r="V125" s="435">
        <v>1.5733333333333333</v>
      </c>
      <c r="W125" s="435">
        <f t="shared" si="26"/>
        <v>9.44</v>
      </c>
      <c r="X125" s="436">
        <f t="shared" si="29"/>
        <v>375.51</v>
      </c>
      <c r="Y125" s="455">
        <v>375.51</v>
      </c>
      <c r="Z125" s="455">
        <v>0</v>
      </c>
      <c r="AA125" s="64">
        <f t="shared" si="27"/>
        <v>375.51</v>
      </c>
      <c r="AB125" s="64" t="str">
        <f t="shared" si="28"/>
        <v>OK</v>
      </c>
      <c r="AC125" s="70">
        <v>62.69</v>
      </c>
      <c r="AD125" s="63"/>
      <c r="AE125" s="70">
        <v>1.62</v>
      </c>
      <c r="AF125" s="79"/>
      <c r="AG125" s="206">
        <f t="shared" si="24"/>
        <v>64.31</v>
      </c>
      <c r="AH125" s="210">
        <v>64.31</v>
      </c>
    </row>
    <row r="126" spans="1:34" s="406" customFormat="1" ht="19.5" customHeight="1">
      <c r="A126" s="106" t="s">
        <v>379</v>
      </c>
      <c r="B126" s="107" t="s">
        <v>209</v>
      </c>
      <c r="C126" s="568" t="s">
        <v>208</v>
      </c>
      <c r="D126" s="568"/>
      <c r="E126" s="568"/>
      <c r="F126" s="568"/>
      <c r="G126" s="568"/>
      <c r="H126" s="568"/>
      <c r="I126" s="568"/>
      <c r="J126" s="109">
        <v>6</v>
      </c>
      <c r="K126" s="76" t="s">
        <v>114</v>
      </c>
      <c r="L126" s="70"/>
      <c r="M126" s="70"/>
      <c r="N126" s="70"/>
      <c r="O126" s="70"/>
      <c r="P126" s="70"/>
      <c r="Q126" s="70"/>
      <c r="R126" s="70"/>
      <c r="S126" s="70"/>
      <c r="T126" s="435">
        <v>31.92833333333333</v>
      </c>
      <c r="U126" s="435">
        <f t="shared" si="25"/>
        <v>191.57</v>
      </c>
      <c r="V126" s="435">
        <v>4.626666666666667</v>
      </c>
      <c r="W126" s="435">
        <f t="shared" si="26"/>
        <v>27.76</v>
      </c>
      <c r="X126" s="436">
        <f t="shared" si="29"/>
        <v>219.33</v>
      </c>
      <c r="Y126" s="455">
        <v>219.33</v>
      </c>
      <c r="Z126" s="455">
        <v>0</v>
      </c>
      <c r="AA126" s="64">
        <f t="shared" si="27"/>
        <v>219.33</v>
      </c>
      <c r="AB126" s="64" t="str">
        <f t="shared" si="28"/>
        <v>OK</v>
      </c>
      <c r="AC126" s="70">
        <v>32.81</v>
      </c>
      <c r="AD126" s="63"/>
      <c r="AE126" s="70">
        <v>4.75</v>
      </c>
      <c r="AF126" s="79"/>
      <c r="AG126" s="206">
        <f t="shared" si="24"/>
        <v>37.56</v>
      </c>
      <c r="AH126" s="210">
        <v>37.56</v>
      </c>
    </row>
    <row r="127" spans="1:34" s="406" customFormat="1" ht="19.5" customHeight="1">
      <c r="A127" s="106" t="s">
        <v>380</v>
      </c>
      <c r="B127" s="107" t="s">
        <v>211</v>
      </c>
      <c r="C127" s="568" t="s">
        <v>210</v>
      </c>
      <c r="D127" s="568"/>
      <c r="E127" s="568"/>
      <c r="F127" s="568"/>
      <c r="G127" s="568"/>
      <c r="H127" s="568"/>
      <c r="I127" s="568"/>
      <c r="J127" s="109">
        <v>2</v>
      </c>
      <c r="K127" s="76" t="s">
        <v>114</v>
      </c>
      <c r="L127" s="70"/>
      <c r="M127" s="70"/>
      <c r="N127" s="70"/>
      <c r="O127" s="70"/>
      <c r="P127" s="70"/>
      <c r="Q127" s="70"/>
      <c r="R127" s="70"/>
      <c r="S127" s="70"/>
      <c r="T127" s="465">
        <v>15.055</v>
      </c>
      <c r="U127" s="435">
        <f t="shared" si="25"/>
        <v>30.11</v>
      </c>
      <c r="V127" s="435">
        <v>5.57</v>
      </c>
      <c r="W127" s="435">
        <f t="shared" si="26"/>
        <v>11.14</v>
      </c>
      <c r="X127" s="466">
        <f t="shared" si="29"/>
        <v>41.25</v>
      </c>
      <c r="Y127" s="455">
        <v>41.24</v>
      </c>
      <c r="Z127" s="455">
        <v>0</v>
      </c>
      <c r="AA127" s="64">
        <f t="shared" si="27"/>
        <v>41.24</v>
      </c>
      <c r="AB127" s="467">
        <f t="shared" si="28"/>
        <v>0.00999999999999801</v>
      </c>
      <c r="AC127" s="70">
        <v>15.47</v>
      </c>
      <c r="AD127" s="63"/>
      <c r="AE127" s="70">
        <v>5.72</v>
      </c>
      <c r="AF127" s="79"/>
      <c r="AG127" s="206">
        <f t="shared" si="24"/>
        <v>21.19</v>
      </c>
      <c r="AH127" s="210">
        <v>21.19</v>
      </c>
    </row>
    <row r="128" spans="1:34" s="406" customFormat="1" ht="12.75">
      <c r="A128" s="106" t="s">
        <v>381</v>
      </c>
      <c r="B128" s="107" t="s">
        <v>213</v>
      </c>
      <c r="C128" s="568" t="s">
        <v>212</v>
      </c>
      <c r="D128" s="568"/>
      <c r="E128" s="568"/>
      <c r="F128" s="568"/>
      <c r="G128" s="568"/>
      <c r="H128" s="568"/>
      <c r="I128" s="568"/>
      <c r="J128" s="109">
        <v>1</v>
      </c>
      <c r="K128" s="76" t="s">
        <v>114</v>
      </c>
      <c r="L128" s="70"/>
      <c r="M128" s="70"/>
      <c r="N128" s="70"/>
      <c r="O128" s="70"/>
      <c r="P128" s="70"/>
      <c r="Q128" s="70"/>
      <c r="R128" s="70"/>
      <c r="S128" s="70"/>
      <c r="T128" s="435">
        <v>462.41</v>
      </c>
      <c r="U128" s="435">
        <f t="shared" si="25"/>
        <v>462.41</v>
      </c>
      <c r="V128" s="435">
        <v>170.54</v>
      </c>
      <c r="W128" s="435">
        <f t="shared" si="26"/>
        <v>170.54</v>
      </c>
      <c r="X128" s="436">
        <f t="shared" si="29"/>
        <v>632.95</v>
      </c>
      <c r="Y128" s="455">
        <v>632.95</v>
      </c>
      <c r="Z128" s="455">
        <v>0</v>
      </c>
      <c r="AA128" s="64">
        <f t="shared" si="27"/>
        <v>632.95</v>
      </c>
      <c r="AB128" s="64" t="str">
        <f t="shared" si="28"/>
        <v>OK</v>
      </c>
      <c r="AC128" s="70">
        <f>474.37+0.76</f>
        <v>475.13</v>
      </c>
      <c r="AD128" s="63"/>
      <c r="AE128" s="70">
        <v>175.23</v>
      </c>
      <c r="AF128" s="79"/>
      <c r="AG128" s="206">
        <f t="shared" si="24"/>
        <v>650.36</v>
      </c>
      <c r="AH128" s="210">
        <v>650.36</v>
      </c>
    </row>
    <row r="129" spans="1:34" s="412" customFormat="1" ht="12.75">
      <c r="A129" s="106" t="s">
        <v>382</v>
      </c>
      <c r="B129" s="113" t="s">
        <v>494</v>
      </c>
      <c r="C129" s="636" t="s">
        <v>493</v>
      </c>
      <c r="D129" s="636"/>
      <c r="E129" s="636"/>
      <c r="F129" s="636"/>
      <c r="G129" s="636"/>
      <c r="H129" s="636"/>
      <c r="I129" s="636"/>
      <c r="J129" s="219">
        <v>2</v>
      </c>
      <c r="K129" s="220" t="s">
        <v>114</v>
      </c>
      <c r="L129" s="221"/>
      <c r="M129" s="221"/>
      <c r="N129" s="221"/>
      <c r="O129" s="221"/>
      <c r="P129" s="221"/>
      <c r="Q129" s="221"/>
      <c r="R129" s="221"/>
      <c r="S129" s="221"/>
      <c r="T129" s="435">
        <v>370.41</v>
      </c>
      <c r="U129" s="435">
        <f t="shared" si="25"/>
        <v>740.82</v>
      </c>
      <c r="V129" s="465">
        <v>92.605</v>
      </c>
      <c r="W129" s="435">
        <f t="shared" si="26"/>
        <v>185.21</v>
      </c>
      <c r="X129" s="436">
        <f t="shared" si="29"/>
        <v>926.03</v>
      </c>
      <c r="Y129" s="455">
        <v>926.03</v>
      </c>
      <c r="Z129" s="455">
        <v>0</v>
      </c>
      <c r="AA129" s="64">
        <f t="shared" si="27"/>
        <v>926.03</v>
      </c>
      <c r="AB129" s="64" t="str">
        <f t="shared" si="28"/>
        <v>OK</v>
      </c>
      <c r="AC129" s="221">
        <f>475.74*0.8</f>
        <v>380.59200000000004</v>
      </c>
      <c r="AD129" s="411"/>
      <c r="AE129" s="221">
        <f>475.74*0.2</f>
        <v>95.14800000000001</v>
      </c>
      <c r="AF129" s="222"/>
      <c r="AG129" s="223">
        <f t="shared" si="24"/>
        <v>475.74000000000007</v>
      </c>
      <c r="AH129" s="224">
        <v>475.74</v>
      </c>
    </row>
    <row r="130" spans="1:34" s="412" customFormat="1" ht="12.75" customHeight="1">
      <c r="A130" s="106" t="s">
        <v>383</v>
      </c>
      <c r="B130" s="113" t="s">
        <v>496</v>
      </c>
      <c r="C130" s="636" t="s">
        <v>495</v>
      </c>
      <c r="D130" s="636"/>
      <c r="E130" s="636"/>
      <c r="F130" s="636"/>
      <c r="G130" s="636"/>
      <c r="H130" s="636"/>
      <c r="I130" s="636"/>
      <c r="J130" s="219">
        <v>2</v>
      </c>
      <c r="K130" s="220" t="s">
        <v>114</v>
      </c>
      <c r="L130" s="221"/>
      <c r="M130" s="221"/>
      <c r="N130" s="221"/>
      <c r="O130" s="221"/>
      <c r="P130" s="221"/>
      <c r="Q130" s="221"/>
      <c r="R130" s="221"/>
      <c r="S130" s="221"/>
      <c r="T130" s="435">
        <v>220.115</v>
      </c>
      <c r="U130" s="435">
        <f t="shared" si="25"/>
        <v>440.23</v>
      </c>
      <c r="V130" s="435">
        <v>55.025</v>
      </c>
      <c r="W130" s="435">
        <f t="shared" si="26"/>
        <v>110.05</v>
      </c>
      <c r="X130" s="466">
        <f t="shared" si="29"/>
        <v>550.28</v>
      </c>
      <c r="Y130" s="455">
        <v>550.29</v>
      </c>
      <c r="Z130" s="455">
        <v>0</v>
      </c>
      <c r="AA130" s="64">
        <f t="shared" si="27"/>
        <v>550.29</v>
      </c>
      <c r="AB130" s="64">
        <f t="shared" si="28"/>
        <v>-0.009999999999990905</v>
      </c>
      <c r="AC130" s="221">
        <f>282.71*0.8</f>
        <v>226.168</v>
      </c>
      <c r="AD130" s="411"/>
      <c r="AE130" s="221">
        <f>282.71*0.2</f>
        <v>56.542</v>
      </c>
      <c r="AF130" s="222"/>
      <c r="AG130" s="223">
        <f t="shared" si="24"/>
        <v>282.71000000000004</v>
      </c>
      <c r="AH130" s="224">
        <v>282.71</v>
      </c>
    </row>
    <row r="131" spans="1:34" s="412" customFormat="1" ht="12.75" customHeight="1">
      <c r="A131" s="106" t="s">
        <v>384</v>
      </c>
      <c r="B131" s="113" t="s">
        <v>498</v>
      </c>
      <c r="C131" s="636" t="s">
        <v>497</v>
      </c>
      <c r="D131" s="636"/>
      <c r="E131" s="636"/>
      <c r="F131" s="636"/>
      <c r="G131" s="636"/>
      <c r="H131" s="636"/>
      <c r="I131" s="636"/>
      <c r="J131" s="219">
        <v>4</v>
      </c>
      <c r="K131" s="220" t="s">
        <v>114</v>
      </c>
      <c r="L131" s="221"/>
      <c r="M131" s="221"/>
      <c r="N131" s="221"/>
      <c r="O131" s="221"/>
      <c r="P131" s="221"/>
      <c r="Q131" s="221"/>
      <c r="R131" s="221"/>
      <c r="S131" s="221"/>
      <c r="T131" s="435">
        <v>112.82</v>
      </c>
      <c r="U131" s="435">
        <f t="shared" si="25"/>
        <v>451.28</v>
      </c>
      <c r="V131" s="465">
        <v>28.205</v>
      </c>
      <c r="W131" s="435">
        <f t="shared" si="26"/>
        <v>112.82</v>
      </c>
      <c r="X131" s="466">
        <f t="shared" si="29"/>
        <v>564.1</v>
      </c>
      <c r="Y131" s="455">
        <v>564.09</v>
      </c>
      <c r="Z131" s="455">
        <v>0</v>
      </c>
      <c r="AA131" s="64">
        <f t="shared" si="27"/>
        <v>564.09</v>
      </c>
      <c r="AB131" s="64">
        <f t="shared" si="28"/>
        <v>0.009999999999990905</v>
      </c>
      <c r="AC131" s="221">
        <f>144.9*0.8</f>
        <v>115.92000000000002</v>
      </c>
      <c r="AD131" s="411"/>
      <c r="AE131" s="221">
        <f>144.9*0.2</f>
        <v>28.980000000000004</v>
      </c>
      <c r="AF131" s="222"/>
      <c r="AG131" s="223">
        <f t="shared" si="24"/>
        <v>144.90000000000003</v>
      </c>
      <c r="AH131" s="224"/>
    </row>
    <row r="132" spans="1:36" s="407" customFormat="1" ht="12" customHeight="1">
      <c r="A132" s="123">
        <v>9</v>
      </c>
      <c r="B132" s="575" t="s">
        <v>391</v>
      </c>
      <c r="C132" s="575"/>
      <c r="D132" s="575"/>
      <c r="E132" s="575"/>
      <c r="F132" s="575"/>
      <c r="G132" s="575"/>
      <c r="H132" s="575"/>
      <c r="I132" s="575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437"/>
      <c r="U132" s="433">
        <f>SUM(U133:U140)</f>
        <v>28229.5225</v>
      </c>
      <c r="V132" s="437"/>
      <c r="W132" s="433">
        <f>SUM(W133:W140)</f>
        <v>7912.245</v>
      </c>
      <c r="X132" s="434">
        <f>U132+W132</f>
        <v>36141.7675</v>
      </c>
      <c r="Y132" s="454"/>
      <c r="Z132" s="454"/>
      <c r="AA132" s="454"/>
      <c r="AB132" s="408"/>
      <c r="AC132" s="207" t="s">
        <v>395</v>
      </c>
      <c r="AD132" s="115"/>
      <c r="AE132" s="207" t="s">
        <v>396</v>
      </c>
      <c r="AF132" s="114"/>
      <c r="AG132" s="205" t="s">
        <v>486</v>
      </c>
      <c r="AH132" s="209" t="s">
        <v>492</v>
      </c>
      <c r="AI132" s="415"/>
      <c r="AJ132" s="415"/>
    </row>
    <row r="133" spans="1:36" s="406" customFormat="1" ht="12.75">
      <c r="A133" s="106" t="s">
        <v>312</v>
      </c>
      <c r="B133" s="107" t="s">
        <v>134</v>
      </c>
      <c r="C133" s="568" t="s">
        <v>133</v>
      </c>
      <c r="D133" s="568"/>
      <c r="E133" s="568"/>
      <c r="F133" s="568"/>
      <c r="G133" s="568"/>
      <c r="H133" s="568"/>
      <c r="I133" s="568"/>
      <c r="J133" s="109">
        <v>125.15</v>
      </c>
      <c r="K133" s="76" t="s">
        <v>65</v>
      </c>
      <c r="L133" s="70"/>
      <c r="M133" s="70"/>
      <c r="N133" s="70"/>
      <c r="O133" s="70"/>
      <c r="P133" s="70"/>
      <c r="Q133" s="70"/>
      <c r="R133" s="70"/>
      <c r="S133" s="70"/>
      <c r="T133" s="435">
        <v>173.9343188174191</v>
      </c>
      <c r="U133" s="435">
        <f aca="true" t="shared" si="30" ref="U133:U140">J133*T133</f>
        <v>21767.88</v>
      </c>
      <c r="V133" s="435">
        <v>29.986496204554534</v>
      </c>
      <c r="W133" s="435">
        <f aca="true" t="shared" si="31" ref="W133:W140">(V133*J133)</f>
        <v>3752.81</v>
      </c>
      <c r="X133" s="436">
        <f>ROUND(U133+W133,2)</f>
        <v>25520.69</v>
      </c>
      <c r="Y133" s="455">
        <v>25520.69</v>
      </c>
      <c r="Z133" s="455">
        <v>0</v>
      </c>
      <c r="AA133" s="64">
        <f>IF((Y133=Z133),0,(Y133-Z133))</f>
        <v>25520.69</v>
      </c>
      <c r="AB133" s="64" t="str">
        <f>IF((X133=AA133),"OK",(X133-AA133))</f>
        <v>OK</v>
      </c>
      <c r="AC133" s="70">
        <f>178.62+0.1</f>
        <v>178.72</v>
      </c>
      <c r="AD133" s="63"/>
      <c r="AE133" s="70">
        <v>30.81</v>
      </c>
      <c r="AF133" s="79"/>
      <c r="AG133" s="206">
        <f t="shared" si="24"/>
        <v>209.53</v>
      </c>
      <c r="AH133" s="211">
        <v>209.53</v>
      </c>
      <c r="AI133" s="416"/>
      <c r="AJ133" s="416"/>
    </row>
    <row r="134" spans="1:36" s="410" customFormat="1" ht="12.75">
      <c r="A134" s="117" t="s">
        <v>313</v>
      </c>
      <c r="B134" s="118"/>
      <c r="C134" s="688" t="s">
        <v>254</v>
      </c>
      <c r="D134" s="689"/>
      <c r="E134" s="689"/>
      <c r="F134" s="689"/>
      <c r="G134" s="689"/>
      <c r="H134" s="689"/>
      <c r="I134" s="690"/>
      <c r="J134" s="119"/>
      <c r="K134" s="120"/>
      <c r="L134" s="121"/>
      <c r="M134" s="121"/>
      <c r="N134" s="121"/>
      <c r="O134" s="121"/>
      <c r="P134" s="121"/>
      <c r="Q134" s="121"/>
      <c r="R134" s="121"/>
      <c r="S134" s="121"/>
      <c r="T134" s="438"/>
      <c r="U134" s="435">
        <f t="shared" si="30"/>
        <v>0</v>
      </c>
      <c r="V134" s="438"/>
      <c r="W134" s="435">
        <f t="shared" si="31"/>
        <v>0</v>
      </c>
      <c r="X134" s="444">
        <f>W134+U134</f>
        <v>0</v>
      </c>
      <c r="Y134" s="458"/>
      <c r="Z134" s="458"/>
      <c r="AA134" s="458"/>
      <c r="AB134" s="409"/>
      <c r="AC134" s="121"/>
      <c r="AD134" s="409"/>
      <c r="AE134" s="121"/>
      <c r="AF134" s="116"/>
      <c r="AG134" s="206">
        <f t="shared" si="24"/>
        <v>0</v>
      </c>
      <c r="AH134" s="212"/>
      <c r="AI134" s="417"/>
      <c r="AJ134" s="417"/>
    </row>
    <row r="135" spans="1:36" s="406" customFormat="1" ht="12.75">
      <c r="A135" s="106" t="s">
        <v>385</v>
      </c>
      <c r="B135" s="107" t="s">
        <v>550</v>
      </c>
      <c r="C135" s="569" t="s">
        <v>551</v>
      </c>
      <c r="D135" s="566"/>
      <c r="E135" s="566"/>
      <c r="F135" s="566"/>
      <c r="G135" s="566"/>
      <c r="H135" s="566"/>
      <c r="I135" s="567"/>
      <c r="J135" s="76">
        <v>114</v>
      </c>
      <c r="K135" s="76" t="s">
        <v>63</v>
      </c>
      <c r="L135" s="107"/>
      <c r="M135" s="107"/>
      <c r="N135" s="107"/>
      <c r="O135" s="107"/>
      <c r="P135" s="107"/>
      <c r="Q135" s="107"/>
      <c r="R135" s="107"/>
      <c r="S135" s="107"/>
      <c r="T135" s="435">
        <v>46.1981578947368</v>
      </c>
      <c r="U135" s="435">
        <f t="shared" si="30"/>
        <v>5266.589999999996</v>
      </c>
      <c r="V135" s="435">
        <v>26.119298245614033</v>
      </c>
      <c r="W135" s="435">
        <f t="shared" si="31"/>
        <v>2977.6</v>
      </c>
      <c r="X135" s="436">
        <f aca="true" t="shared" si="32" ref="X135:X140">ROUND(U135+W135,2)</f>
        <v>8244.19</v>
      </c>
      <c r="Y135" s="455">
        <v>8244.19</v>
      </c>
      <c r="Z135" s="455">
        <v>0</v>
      </c>
      <c r="AA135" s="64">
        <f aca="true" t="shared" si="33" ref="AA135:AA140">IF((Y135=Z135),0,(Y135-Z135))</f>
        <v>8244.19</v>
      </c>
      <c r="AB135" s="64" t="str">
        <f aca="true" t="shared" si="34" ref="AB135:AB140">IF((X135=AA135),"OK",(X135-AA135))</f>
        <v>OK</v>
      </c>
      <c r="AC135" s="70">
        <f>47.21+0.17+0.09</f>
        <v>47.470000000000006</v>
      </c>
      <c r="AD135" s="63"/>
      <c r="AE135" s="77" t="s">
        <v>552</v>
      </c>
      <c r="AF135" s="79"/>
      <c r="AG135" s="206">
        <f t="shared" si="24"/>
        <v>74.31</v>
      </c>
      <c r="AH135" s="217">
        <v>74.31</v>
      </c>
      <c r="AI135" s="416"/>
      <c r="AJ135" s="416"/>
    </row>
    <row r="136" spans="1:36" s="406" customFormat="1" ht="19.5" customHeight="1">
      <c r="A136" s="106" t="s">
        <v>386</v>
      </c>
      <c r="B136" s="107" t="s">
        <v>259</v>
      </c>
      <c r="C136" s="569" t="s">
        <v>258</v>
      </c>
      <c r="D136" s="566"/>
      <c r="E136" s="566"/>
      <c r="F136" s="566"/>
      <c r="G136" s="566"/>
      <c r="H136" s="566"/>
      <c r="I136" s="567"/>
      <c r="J136" s="76">
        <f>114-85.5</f>
        <v>28.5</v>
      </c>
      <c r="K136" s="76" t="s">
        <v>63</v>
      </c>
      <c r="L136" s="107"/>
      <c r="M136" s="107"/>
      <c r="N136" s="107"/>
      <c r="O136" s="107"/>
      <c r="P136" s="107"/>
      <c r="Q136" s="107"/>
      <c r="R136" s="107"/>
      <c r="S136" s="107"/>
      <c r="T136" s="435">
        <v>21.285350877192982</v>
      </c>
      <c r="U136" s="435">
        <f t="shared" si="30"/>
        <v>606.6325</v>
      </c>
      <c r="V136" s="435">
        <v>10.051403508771928</v>
      </c>
      <c r="W136" s="435">
        <f t="shared" si="31"/>
        <v>286.465</v>
      </c>
      <c r="X136" s="436">
        <f t="shared" si="32"/>
        <v>893.1</v>
      </c>
      <c r="Y136" s="455">
        <v>3572.39</v>
      </c>
      <c r="Z136" s="455">
        <v>2679.29</v>
      </c>
      <c r="AA136" s="64">
        <f t="shared" si="33"/>
        <v>893.0999999999999</v>
      </c>
      <c r="AB136" s="64" t="str">
        <f t="shared" si="34"/>
        <v>OK</v>
      </c>
      <c r="AC136" s="70">
        <f>21.78+0.04+0.05</f>
        <v>21.87</v>
      </c>
      <c r="AD136" s="63"/>
      <c r="AE136" s="77" t="s">
        <v>488</v>
      </c>
      <c r="AF136" s="79"/>
      <c r="AG136" s="206">
        <f t="shared" si="24"/>
        <v>32.2</v>
      </c>
      <c r="AH136" s="211">
        <v>32.2</v>
      </c>
      <c r="AI136" s="416"/>
      <c r="AJ136" s="416"/>
    </row>
    <row r="137" spans="1:36" s="406" customFormat="1" ht="12.75">
      <c r="A137" s="106" t="s">
        <v>387</v>
      </c>
      <c r="B137" s="107" t="s">
        <v>256</v>
      </c>
      <c r="C137" s="565" t="s">
        <v>253</v>
      </c>
      <c r="D137" s="566"/>
      <c r="E137" s="566"/>
      <c r="F137" s="566"/>
      <c r="G137" s="566"/>
      <c r="H137" s="566"/>
      <c r="I137" s="567"/>
      <c r="J137" s="76">
        <v>114</v>
      </c>
      <c r="K137" s="76" t="s">
        <v>63</v>
      </c>
      <c r="L137" s="107"/>
      <c r="M137" s="107"/>
      <c r="N137" s="107"/>
      <c r="O137" s="107"/>
      <c r="P137" s="107"/>
      <c r="Q137" s="107"/>
      <c r="R137" s="107"/>
      <c r="S137" s="107"/>
      <c r="T137" s="435">
        <v>1.0147368421052632</v>
      </c>
      <c r="U137" s="435">
        <f t="shared" si="30"/>
        <v>115.68</v>
      </c>
      <c r="V137" s="435">
        <v>0.671140350877193</v>
      </c>
      <c r="W137" s="435">
        <f t="shared" si="31"/>
        <v>76.51</v>
      </c>
      <c r="X137" s="436">
        <f t="shared" si="32"/>
        <v>192.19</v>
      </c>
      <c r="Y137" s="455">
        <v>192.19</v>
      </c>
      <c r="Z137" s="455">
        <v>0</v>
      </c>
      <c r="AA137" s="64">
        <f t="shared" si="33"/>
        <v>192.19</v>
      </c>
      <c r="AB137" s="64" t="str">
        <f t="shared" si="34"/>
        <v>OK</v>
      </c>
      <c r="AC137" s="77" t="s">
        <v>490</v>
      </c>
      <c r="AD137" s="63"/>
      <c r="AE137" s="77" t="s">
        <v>489</v>
      </c>
      <c r="AF137" s="79"/>
      <c r="AG137" s="206">
        <f t="shared" si="24"/>
        <v>1.73</v>
      </c>
      <c r="AH137" s="211">
        <v>1.73</v>
      </c>
      <c r="AI137" s="416"/>
      <c r="AJ137" s="416"/>
    </row>
    <row r="138" spans="1:36" s="406" customFormat="1" ht="12.75">
      <c r="A138" s="106" t="s">
        <v>388</v>
      </c>
      <c r="B138" s="107" t="s">
        <v>257</v>
      </c>
      <c r="C138" s="565" t="s">
        <v>255</v>
      </c>
      <c r="D138" s="566"/>
      <c r="E138" s="566"/>
      <c r="F138" s="566"/>
      <c r="G138" s="566"/>
      <c r="H138" s="566"/>
      <c r="I138" s="567"/>
      <c r="J138" s="76">
        <v>114</v>
      </c>
      <c r="K138" s="76" t="s">
        <v>63</v>
      </c>
      <c r="L138" s="107"/>
      <c r="M138" s="107"/>
      <c r="N138" s="107"/>
      <c r="O138" s="107"/>
      <c r="P138" s="107"/>
      <c r="Q138" s="107"/>
      <c r="R138" s="107"/>
      <c r="S138" s="107"/>
      <c r="T138" s="435">
        <v>4.146842105263158</v>
      </c>
      <c r="U138" s="435">
        <f t="shared" si="30"/>
        <v>472.73999999999995</v>
      </c>
      <c r="V138" s="435">
        <v>7.182982456140351</v>
      </c>
      <c r="W138" s="435">
        <f t="shared" si="31"/>
        <v>818.86</v>
      </c>
      <c r="X138" s="436">
        <f t="shared" si="32"/>
        <v>1291.6</v>
      </c>
      <c r="Y138" s="455">
        <v>1291.6</v>
      </c>
      <c r="Z138" s="455">
        <v>0</v>
      </c>
      <c r="AA138" s="64">
        <f t="shared" si="33"/>
        <v>1291.6</v>
      </c>
      <c r="AB138" s="64" t="str">
        <f t="shared" si="34"/>
        <v>OK</v>
      </c>
      <c r="AC138" s="70">
        <f>4.25+0.01</f>
        <v>4.26</v>
      </c>
      <c r="AD138" s="63"/>
      <c r="AE138" s="77" t="s">
        <v>491</v>
      </c>
      <c r="AF138" s="79"/>
      <c r="AG138" s="206">
        <f t="shared" si="24"/>
        <v>11.64</v>
      </c>
      <c r="AH138" s="211">
        <v>11.64</v>
      </c>
      <c r="AI138" s="416"/>
      <c r="AJ138" s="416"/>
    </row>
    <row r="139" spans="1:36" s="406" customFormat="1" ht="27" customHeight="1">
      <c r="A139" s="106" t="s">
        <v>553</v>
      </c>
      <c r="B139" s="107" t="s">
        <v>554</v>
      </c>
      <c r="C139" s="569" t="s">
        <v>555</v>
      </c>
      <c r="D139" s="570"/>
      <c r="E139" s="570"/>
      <c r="F139" s="570"/>
      <c r="G139" s="570"/>
      <c r="H139" s="570"/>
      <c r="I139" s="571"/>
      <c r="J139" s="76">
        <v>0</v>
      </c>
      <c r="K139" s="76" t="s">
        <v>63</v>
      </c>
      <c r="L139" s="107"/>
      <c r="M139" s="107"/>
      <c r="N139" s="107"/>
      <c r="O139" s="107"/>
      <c r="P139" s="107"/>
      <c r="Q139" s="107"/>
      <c r="R139" s="107"/>
      <c r="S139" s="107"/>
      <c r="T139" s="435">
        <v>27.877156943303202</v>
      </c>
      <c r="U139" s="435">
        <f t="shared" si="30"/>
        <v>0</v>
      </c>
      <c r="V139" s="435">
        <v>35.71528348397699</v>
      </c>
      <c r="W139" s="435">
        <f t="shared" si="31"/>
        <v>0</v>
      </c>
      <c r="X139" s="436">
        <f t="shared" si="32"/>
        <v>0</v>
      </c>
      <c r="Y139" s="455">
        <v>1547.84</v>
      </c>
      <c r="Z139" s="455">
        <v>1547.84</v>
      </c>
      <c r="AA139" s="64">
        <f t="shared" si="33"/>
        <v>0</v>
      </c>
      <c r="AB139" s="64" t="str">
        <f t="shared" si="34"/>
        <v>OK</v>
      </c>
      <c r="AC139" s="70">
        <f>28.52+0.12</f>
        <v>28.64</v>
      </c>
      <c r="AD139" s="63"/>
      <c r="AE139" s="77" t="s">
        <v>556</v>
      </c>
      <c r="AF139" s="79"/>
      <c r="AG139" s="206">
        <f t="shared" si="24"/>
        <v>65.34</v>
      </c>
      <c r="AH139" s="211">
        <v>65.34</v>
      </c>
      <c r="AI139" s="416"/>
      <c r="AJ139" s="416"/>
    </row>
    <row r="140" spans="1:36" s="406" customFormat="1" ht="27" customHeight="1">
      <c r="A140" s="106" t="s">
        <v>558</v>
      </c>
      <c r="B140" s="107" t="s">
        <v>559</v>
      </c>
      <c r="C140" s="569" t="s">
        <v>560</v>
      </c>
      <c r="D140" s="570"/>
      <c r="E140" s="570"/>
      <c r="F140" s="570"/>
      <c r="G140" s="570"/>
      <c r="H140" s="570"/>
      <c r="I140" s="571"/>
      <c r="J140" s="76">
        <v>0</v>
      </c>
      <c r="K140" s="76" t="s">
        <v>63</v>
      </c>
      <c r="L140" s="107"/>
      <c r="M140" s="107"/>
      <c r="N140" s="107"/>
      <c r="O140" s="107"/>
      <c r="P140" s="107"/>
      <c r="Q140" s="107"/>
      <c r="R140" s="107"/>
      <c r="S140" s="107"/>
      <c r="T140" s="435">
        <v>13.92645850451931</v>
      </c>
      <c r="U140" s="435">
        <f t="shared" si="30"/>
        <v>0</v>
      </c>
      <c r="V140" s="465">
        <v>10.354971240755956</v>
      </c>
      <c r="W140" s="435">
        <f t="shared" si="31"/>
        <v>0</v>
      </c>
      <c r="X140" s="436">
        <f t="shared" si="32"/>
        <v>0</v>
      </c>
      <c r="Y140" s="455">
        <v>591.01</v>
      </c>
      <c r="Z140" s="455">
        <v>591.02</v>
      </c>
      <c r="AA140" s="64">
        <f t="shared" si="33"/>
        <v>-0.009999999999990905</v>
      </c>
      <c r="AB140" s="467">
        <f t="shared" si="34"/>
        <v>0.009999999999990905</v>
      </c>
      <c r="AC140" s="70">
        <f>14.24+0.03+0.04</f>
        <v>14.309999999999999</v>
      </c>
      <c r="AD140" s="63"/>
      <c r="AE140" s="77" t="s">
        <v>561</v>
      </c>
      <c r="AF140" s="79"/>
      <c r="AG140" s="206">
        <f t="shared" si="24"/>
        <v>24.95</v>
      </c>
      <c r="AH140" s="211">
        <v>24.95</v>
      </c>
      <c r="AI140" s="416"/>
      <c r="AJ140" s="416"/>
    </row>
    <row r="141" spans="1:36" s="407" customFormat="1" ht="12.75">
      <c r="A141" s="123">
        <v>10</v>
      </c>
      <c r="B141" s="575" t="s">
        <v>276</v>
      </c>
      <c r="C141" s="575"/>
      <c r="D141" s="575"/>
      <c r="E141" s="575"/>
      <c r="F141" s="575"/>
      <c r="G141" s="575"/>
      <c r="H141" s="575"/>
      <c r="I141" s="575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437"/>
      <c r="U141" s="433">
        <f>SUM(U142:U154)</f>
        <v>6667.680101813336</v>
      </c>
      <c r="V141" s="437"/>
      <c r="W141" s="433">
        <f>SUM(W142:W154)</f>
        <v>1404.00364850568</v>
      </c>
      <c r="X141" s="434">
        <f>U141+W141</f>
        <v>8071.683750319015</v>
      </c>
      <c r="Y141" s="454"/>
      <c r="Z141" s="454"/>
      <c r="AA141" s="454"/>
      <c r="AB141" s="408"/>
      <c r="AC141" s="207" t="s">
        <v>395</v>
      </c>
      <c r="AD141" s="115"/>
      <c r="AE141" s="207" t="s">
        <v>396</v>
      </c>
      <c r="AF141" s="114"/>
      <c r="AG141" s="205" t="s">
        <v>486</v>
      </c>
      <c r="AH141" s="209" t="s">
        <v>492</v>
      </c>
      <c r="AI141" s="418"/>
      <c r="AJ141" s="418"/>
    </row>
    <row r="142" spans="1:34" s="406" customFormat="1" ht="19.5" customHeight="1">
      <c r="A142" s="106" t="s">
        <v>247</v>
      </c>
      <c r="B142" s="107" t="s">
        <v>139</v>
      </c>
      <c r="C142" s="568" t="s">
        <v>136</v>
      </c>
      <c r="D142" s="568"/>
      <c r="E142" s="568"/>
      <c r="F142" s="568"/>
      <c r="G142" s="568"/>
      <c r="H142" s="568"/>
      <c r="I142" s="568"/>
      <c r="J142" s="109">
        <f>55.01-31.1</f>
        <v>23.909999999999997</v>
      </c>
      <c r="K142" s="76" t="s">
        <v>63</v>
      </c>
      <c r="L142" s="70"/>
      <c r="M142" s="70"/>
      <c r="N142" s="70"/>
      <c r="O142" s="70"/>
      <c r="P142" s="70"/>
      <c r="Q142" s="70"/>
      <c r="R142" s="70"/>
      <c r="S142" s="70"/>
      <c r="T142" s="435">
        <v>23.474640974368295</v>
      </c>
      <c r="U142" s="435">
        <f>J142*T142</f>
        <v>561.2786656971458</v>
      </c>
      <c r="V142" s="435">
        <v>8.525359025631705</v>
      </c>
      <c r="W142" s="435">
        <f aca="true" t="shared" si="35" ref="W142:W154">(V142*J142)</f>
        <v>203.84133430285402</v>
      </c>
      <c r="X142" s="436">
        <f>ROUND(U142+W142,2)</f>
        <v>765.12</v>
      </c>
      <c r="Y142" s="455">
        <v>1760.32</v>
      </c>
      <c r="Z142" s="455">
        <v>995.28</v>
      </c>
      <c r="AA142" s="64">
        <f aca="true" t="shared" si="36" ref="AA142:AA154">IF((Y142=Z142),0,(Y142-Z142))</f>
        <v>765.04</v>
      </c>
      <c r="AB142" s="467">
        <f aca="true" t="shared" si="37" ref="AB142:AB154">IF((X142=AA142),"OK",(X142-AA142))</f>
        <v>0.08000000000004093</v>
      </c>
      <c r="AC142" s="70">
        <f>24.11+0.01</f>
        <v>24.12</v>
      </c>
      <c r="AD142" s="63"/>
      <c r="AE142" s="70">
        <v>8.76</v>
      </c>
      <c r="AF142" s="79"/>
      <c r="AG142" s="206">
        <f t="shared" si="24"/>
        <v>32.88</v>
      </c>
      <c r="AH142" s="210">
        <v>32.88</v>
      </c>
    </row>
    <row r="143" spans="1:34" s="419" customFormat="1" ht="30" customHeight="1">
      <c r="A143" s="106" t="s">
        <v>248</v>
      </c>
      <c r="B143" s="102" t="s">
        <v>138</v>
      </c>
      <c r="C143" s="580" t="s">
        <v>137</v>
      </c>
      <c r="D143" s="580"/>
      <c r="E143" s="580"/>
      <c r="F143" s="580"/>
      <c r="G143" s="580"/>
      <c r="H143" s="580"/>
      <c r="I143" s="580"/>
      <c r="J143" s="109">
        <f>142.22-110.48</f>
        <v>31.739999999999995</v>
      </c>
      <c r="K143" s="81" t="s">
        <v>63</v>
      </c>
      <c r="L143" s="75"/>
      <c r="M143" s="75"/>
      <c r="N143" s="75"/>
      <c r="O143" s="75"/>
      <c r="P143" s="110"/>
      <c r="Q143" s="75"/>
      <c r="R143" s="75"/>
      <c r="S143" s="75"/>
      <c r="T143" s="435">
        <v>36.658135283363805</v>
      </c>
      <c r="U143" s="435">
        <f aca="true" t="shared" si="38" ref="U143:U153">J143*T143</f>
        <v>1163.529213893967</v>
      </c>
      <c r="V143" s="435">
        <v>12.224722261285333</v>
      </c>
      <c r="W143" s="435">
        <f t="shared" si="35"/>
        <v>388.0126845731964</v>
      </c>
      <c r="X143" s="466">
        <f aca="true" t="shared" si="39" ref="X143:X154">ROUND(U143+W143,2)</f>
        <v>1551.54</v>
      </c>
      <c r="Y143" s="455">
        <v>6952.11</v>
      </c>
      <c r="Z143" s="455">
        <v>5400.4</v>
      </c>
      <c r="AA143" s="64">
        <f t="shared" si="36"/>
        <v>1551.71</v>
      </c>
      <c r="AB143" s="467">
        <f t="shared" si="37"/>
        <v>-0.17000000000007276</v>
      </c>
      <c r="AC143" s="75">
        <f>37.64+0.03</f>
        <v>37.67</v>
      </c>
      <c r="AD143" s="64"/>
      <c r="AE143" s="75">
        <v>12.56</v>
      </c>
      <c r="AF143" s="79"/>
      <c r="AG143" s="206">
        <f t="shared" si="24"/>
        <v>50.230000000000004</v>
      </c>
      <c r="AH143" s="210">
        <v>50.23</v>
      </c>
    </row>
    <row r="144" spans="1:34" s="406" customFormat="1" ht="19.5" customHeight="1">
      <c r="A144" s="106" t="s">
        <v>249</v>
      </c>
      <c r="B144" s="107" t="s">
        <v>141</v>
      </c>
      <c r="C144" s="568" t="s">
        <v>140</v>
      </c>
      <c r="D144" s="568"/>
      <c r="E144" s="568"/>
      <c r="F144" s="568"/>
      <c r="G144" s="568"/>
      <c r="H144" s="568"/>
      <c r="I144" s="568"/>
      <c r="J144" s="109">
        <v>0</v>
      </c>
      <c r="K144" s="109" t="s">
        <v>63</v>
      </c>
      <c r="L144" s="71"/>
      <c r="M144" s="71"/>
      <c r="N144" s="71"/>
      <c r="O144" s="71"/>
      <c r="P144" s="71"/>
      <c r="Q144" s="71"/>
      <c r="R144" s="71"/>
      <c r="S144" s="71"/>
      <c r="T144" s="435">
        <v>1.550063282238785</v>
      </c>
      <c r="U144" s="435">
        <f t="shared" si="38"/>
        <v>0</v>
      </c>
      <c r="V144" s="435">
        <v>1.5021094079594994</v>
      </c>
      <c r="W144" s="435">
        <f t="shared" si="35"/>
        <v>0</v>
      </c>
      <c r="X144" s="436">
        <f t="shared" si="39"/>
        <v>0</v>
      </c>
      <c r="Y144" s="455">
        <v>434.08</v>
      </c>
      <c r="Z144" s="455">
        <v>434.08</v>
      </c>
      <c r="AA144" s="64">
        <f t="shared" si="36"/>
        <v>0</v>
      </c>
      <c r="AB144" s="64" t="str">
        <f t="shared" si="37"/>
        <v>OK</v>
      </c>
      <c r="AC144" s="71">
        <v>1.59</v>
      </c>
      <c r="AD144" s="63"/>
      <c r="AE144" s="71">
        <v>1.54</v>
      </c>
      <c r="AF144" s="79"/>
      <c r="AG144" s="206">
        <f t="shared" si="24"/>
        <v>3.13</v>
      </c>
      <c r="AH144" s="210">
        <v>3.13</v>
      </c>
    </row>
    <row r="145" spans="1:34" s="406" customFormat="1" ht="30" customHeight="1">
      <c r="A145" s="106" t="s">
        <v>252</v>
      </c>
      <c r="B145" s="107" t="s">
        <v>143</v>
      </c>
      <c r="C145" s="568" t="s">
        <v>142</v>
      </c>
      <c r="D145" s="568"/>
      <c r="E145" s="568"/>
      <c r="F145" s="568"/>
      <c r="G145" s="568"/>
      <c r="H145" s="568"/>
      <c r="I145" s="568"/>
      <c r="J145" s="109">
        <v>0</v>
      </c>
      <c r="K145" s="76" t="s">
        <v>63</v>
      </c>
      <c r="L145" s="70"/>
      <c r="M145" s="70"/>
      <c r="N145" s="70"/>
      <c r="O145" s="70"/>
      <c r="P145" s="70"/>
      <c r="Q145" s="70"/>
      <c r="R145" s="70"/>
      <c r="S145" s="70"/>
      <c r="T145" s="435">
        <v>14.453944592884262</v>
      </c>
      <c r="U145" s="435">
        <f t="shared" si="38"/>
        <v>0</v>
      </c>
      <c r="V145" s="435">
        <v>12.192378005906342</v>
      </c>
      <c r="W145" s="465">
        <f t="shared" si="35"/>
        <v>0</v>
      </c>
      <c r="X145" s="466">
        <f t="shared" si="39"/>
        <v>0</v>
      </c>
      <c r="Y145" s="455">
        <v>3789.69</v>
      </c>
      <c r="Z145" s="455">
        <v>3789.69</v>
      </c>
      <c r="AA145" s="64">
        <f t="shared" si="36"/>
        <v>0</v>
      </c>
      <c r="AB145" s="64" t="str">
        <f t="shared" si="37"/>
        <v>OK</v>
      </c>
      <c r="AC145" s="70">
        <f>14.77+0.04+0.04</f>
        <v>14.849999999999998</v>
      </c>
      <c r="AD145" s="63"/>
      <c r="AE145" s="70">
        <v>12.53</v>
      </c>
      <c r="AF145" s="79"/>
      <c r="AG145" s="206">
        <f t="shared" si="24"/>
        <v>27.379999999999995</v>
      </c>
      <c r="AH145" s="210">
        <v>27.38</v>
      </c>
    </row>
    <row r="146" spans="1:34" s="406" customFormat="1" ht="19.5" customHeight="1">
      <c r="A146" s="106" t="s">
        <v>260</v>
      </c>
      <c r="B146" s="107" t="s">
        <v>222</v>
      </c>
      <c r="C146" s="568" t="s">
        <v>223</v>
      </c>
      <c r="D146" s="568"/>
      <c r="E146" s="568"/>
      <c r="F146" s="568"/>
      <c r="G146" s="568"/>
      <c r="H146" s="568"/>
      <c r="I146" s="568"/>
      <c r="J146" s="109">
        <v>9.2</v>
      </c>
      <c r="K146" s="76" t="s">
        <v>63</v>
      </c>
      <c r="L146" s="70"/>
      <c r="M146" s="70"/>
      <c r="N146" s="70"/>
      <c r="O146" s="70"/>
      <c r="P146" s="70"/>
      <c r="Q146" s="70"/>
      <c r="R146" s="70"/>
      <c r="S146" s="70"/>
      <c r="T146" s="435">
        <v>71.62282608695652</v>
      </c>
      <c r="U146" s="435">
        <f t="shared" si="38"/>
        <v>658.93</v>
      </c>
      <c r="V146" s="435">
        <v>8.596739130434784</v>
      </c>
      <c r="W146" s="435">
        <f t="shared" si="35"/>
        <v>79.09</v>
      </c>
      <c r="X146" s="436">
        <f t="shared" si="39"/>
        <v>738.02</v>
      </c>
      <c r="Y146" s="455">
        <v>738.02</v>
      </c>
      <c r="Z146" s="455">
        <v>0</v>
      </c>
      <c r="AA146" s="64">
        <f t="shared" si="36"/>
        <v>738.02</v>
      </c>
      <c r="AB146" s="64" t="str">
        <f t="shared" si="37"/>
        <v>OK</v>
      </c>
      <c r="AC146" s="70">
        <f>73.57+0.02</f>
        <v>73.58999999999999</v>
      </c>
      <c r="AD146" s="63"/>
      <c r="AE146" s="70">
        <v>8.83</v>
      </c>
      <c r="AF146" s="79"/>
      <c r="AG146" s="206">
        <f t="shared" si="24"/>
        <v>82.41999999999999</v>
      </c>
      <c r="AH146" s="210">
        <v>82.42</v>
      </c>
    </row>
    <row r="147" spans="1:34" s="406" customFormat="1" ht="30" customHeight="1">
      <c r="A147" s="106" t="s">
        <v>261</v>
      </c>
      <c r="B147" s="107" t="s">
        <v>145</v>
      </c>
      <c r="C147" s="568" t="s">
        <v>144</v>
      </c>
      <c r="D147" s="568"/>
      <c r="E147" s="568"/>
      <c r="F147" s="568"/>
      <c r="G147" s="568"/>
      <c r="H147" s="568"/>
      <c r="I147" s="568"/>
      <c r="J147" s="109">
        <v>0</v>
      </c>
      <c r="K147" s="76" t="s">
        <v>63</v>
      </c>
      <c r="L147" s="70"/>
      <c r="M147" s="70"/>
      <c r="N147" s="70"/>
      <c r="O147" s="70"/>
      <c r="P147" s="70"/>
      <c r="Q147" s="70"/>
      <c r="R147" s="70"/>
      <c r="S147" s="70"/>
      <c r="T147" s="435">
        <v>23.442633928571432</v>
      </c>
      <c r="U147" s="435">
        <f t="shared" si="38"/>
        <v>0</v>
      </c>
      <c r="V147" s="435">
        <v>11.39375</v>
      </c>
      <c r="W147" s="435">
        <f t="shared" si="35"/>
        <v>0</v>
      </c>
      <c r="X147" s="436">
        <f t="shared" si="39"/>
        <v>0</v>
      </c>
      <c r="Y147" s="455">
        <v>1560.67</v>
      </c>
      <c r="Z147" s="455">
        <v>1560.67</v>
      </c>
      <c r="AA147" s="64">
        <f t="shared" si="36"/>
        <v>0</v>
      </c>
      <c r="AB147" s="64" t="str">
        <f t="shared" si="37"/>
        <v>OK</v>
      </c>
      <c r="AC147" s="70">
        <f>24.06+0.02+0.01</f>
        <v>24.09</v>
      </c>
      <c r="AD147" s="63"/>
      <c r="AE147" s="70">
        <v>11.71</v>
      </c>
      <c r="AF147" s="79"/>
      <c r="AG147" s="206">
        <f t="shared" si="24"/>
        <v>35.8</v>
      </c>
      <c r="AH147" s="210">
        <v>35.8</v>
      </c>
    </row>
    <row r="148" spans="1:34" s="406" customFormat="1" ht="15" customHeight="1">
      <c r="A148" s="106" t="s">
        <v>290</v>
      </c>
      <c r="B148" s="107" t="s">
        <v>510</v>
      </c>
      <c r="C148" s="569" t="s">
        <v>511</v>
      </c>
      <c r="D148" s="570"/>
      <c r="E148" s="570"/>
      <c r="F148" s="570"/>
      <c r="G148" s="570"/>
      <c r="H148" s="570"/>
      <c r="I148" s="571"/>
      <c r="J148" s="109">
        <v>0</v>
      </c>
      <c r="K148" s="76" t="s">
        <v>63</v>
      </c>
      <c r="L148" s="70"/>
      <c r="M148" s="70"/>
      <c r="N148" s="70"/>
      <c r="O148" s="70"/>
      <c r="P148" s="70"/>
      <c r="Q148" s="70"/>
      <c r="R148" s="70"/>
      <c r="S148" s="70"/>
      <c r="T148" s="465">
        <v>1.244047619047619</v>
      </c>
      <c r="U148" s="435">
        <f t="shared" si="38"/>
        <v>0</v>
      </c>
      <c r="V148" s="465">
        <v>4.464285714285714</v>
      </c>
      <c r="W148" s="435">
        <f t="shared" si="35"/>
        <v>0</v>
      </c>
      <c r="X148" s="466">
        <f t="shared" si="39"/>
        <v>0</v>
      </c>
      <c r="Y148" s="455">
        <v>9.6</v>
      </c>
      <c r="Z148" s="455">
        <v>9.6</v>
      </c>
      <c r="AA148" s="64">
        <f t="shared" si="36"/>
        <v>0</v>
      </c>
      <c r="AB148" s="64" t="str">
        <f t="shared" si="37"/>
        <v>OK</v>
      </c>
      <c r="AC148" s="70">
        <v>1.28</v>
      </c>
      <c r="AD148" s="63"/>
      <c r="AE148" s="70">
        <v>4.59</v>
      </c>
      <c r="AF148" s="79"/>
      <c r="AG148" s="206">
        <f t="shared" si="24"/>
        <v>5.87</v>
      </c>
      <c r="AH148" s="210">
        <v>5.87</v>
      </c>
    </row>
    <row r="149" spans="1:34" s="406" customFormat="1" ht="15" customHeight="1">
      <c r="A149" s="106" t="s">
        <v>291</v>
      </c>
      <c r="B149" s="107" t="s">
        <v>512</v>
      </c>
      <c r="C149" s="569" t="s">
        <v>513</v>
      </c>
      <c r="D149" s="570"/>
      <c r="E149" s="570"/>
      <c r="F149" s="570"/>
      <c r="G149" s="570"/>
      <c r="H149" s="570"/>
      <c r="I149" s="571"/>
      <c r="J149" s="109">
        <v>0</v>
      </c>
      <c r="K149" s="76" t="s">
        <v>63</v>
      </c>
      <c r="L149" s="70"/>
      <c r="M149" s="70"/>
      <c r="N149" s="70"/>
      <c r="O149" s="70"/>
      <c r="P149" s="70"/>
      <c r="Q149" s="70"/>
      <c r="R149" s="70"/>
      <c r="S149" s="70"/>
      <c r="T149" s="435">
        <v>4.401818181818182</v>
      </c>
      <c r="U149" s="435">
        <f t="shared" si="38"/>
        <v>0</v>
      </c>
      <c r="V149" s="435">
        <v>12.152727272727274</v>
      </c>
      <c r="W149" s="435">
        <f t="shared" si="35"/>
        <v>0</v>
      </c>
      <c r="X149" s="436">
        <f t="shared" si="39"/>
        <v>0</v>
      </c>
      <c r="Y149" s="455">
        <v>91.05</v>
      </c>
      <c r="Z149" s="455">
        <v>91.05</v>
      </c>
      <c r="AA149" s="64">
        <f t="shared" si="36"/>
        <v>0</v>
      </c>
      <c r="AB149" s="64" t="str">
        <f t="shared" si="37"/>
        <v>OK</v>
      </c>
      <c r="AC149" s="70">
        <f>4.48+0.04</f>
        <v>4.5200000000000005</v>
      </c>
      <c r="AD149" s="63"/>
      <c r="AE149" s="70">
        <v>12.49</v>
      </c>
      <c r="AF149" s="79"/>
      <c r="AG149" s="206">
        <f t="shared" si="24"/>
        <v>17.01</v>
      </c>
      <c r="AH149" s="210">
        <v>17.01</v>
      </c>
    </row>
    <row r="150" spans="1:34" s="406" customFormat="1" ht="18.75" customHeight="1">
      <c r="A150" s="106" t="s">
        <v>524</v>
      </c>
      <c r="B150" s="107" t="s">
        <v>147</v>
      </c>
      <c r="C150" s="568" t="s">
        <v>146</v>
      </c>
      <c r="D150" s="568"/>
      <c r="E150" s="568"/>
      <c r="F150" s="568"/>
      <c r="G150" s="568"/>
      <c r="H150" s="568"/>
      <c r="I150" s="568"/>
      <c r="J150" s="109">
        <v>0</v>
      </c>
      <c r="K150" s="76" t="s">
        <v>65</v>
      </c>
      <c r="L150" s="70"/>
      <c r="M150" s="70"/>
      <c r="N150" s="70"/>
      <c r="O150" s="70"/>
      <c r="P150" s="70"/>
      <c r="Q150" s="70"/>
      <c r="R150" s="70"/>
      <c r="S150" s="70"/>
      <c r="T150" s="435">
        <v>1.5502232142857142</v>
      </c>
      <c r="U150" s="435">
        <f t="shared" si="38"/>
        <v>0</v>
      </c>
      <c r="V150" s="435">
        <v>2.5809151785714284</v>
      </c>
      <c r="W150" s="435">
        <f t="shared" si="35"/>
        <v>0</v>
      </c>
      <c r="X150" s="466">
        <f t="shared" si="39"/>
        <v>0</v>
      </c>
      <c r="Y150" s="455">
        <v>74.02</v>
      </c>
      <c r="Z150" s="455">
        <v>74.02</v>
      </c>
      <c r="AA150" s="64">
        <f t="shared" si="36"/>
        <v>0</v>
      </c>
      <c r="AB150" s="64" t="str">
        <f t="shared" si="37"/>
        <v>OK</v>
      </c>
      <c r="AC150" s="70">
        <v>1.59</v>
      </c>
      <c r="AD150" s="63"/>
      <c r="AE150" s="70">
        <v>2.65</v>
      </c>
      <c r="AF150" s="79"/>
      <c r="AG150" s="206">
        <f t="shared" si="24"/>
        <v>4.24</v>
      </c>
      <c r="AH150" s="210">
        <v>4.24</v>
      </c>
    </row>
    <row r="151" spans="1:34" s="406" customFormat="1" ht="30" customHeight="1">
      <c r="A151" s="106" t="s">
        <v>292</v>
      </c>
      <c r="B151" s="107" t="s">
        <v>148</v>
      </c>
      <c r="C151" s="568" t="s">
        <v>433</v>
      </c>
      <c r="D151" s="568"/>
      <c r="E151" s="568"/>
      <c r="F151" s="568"/>
      <c r="G151" s="568"/>
      <c r="H151" s="568"/>
      <c r="I151" s="568"/>
      <c r="J151" s="109">
        <v>4</v>
      </c>
      <c r="K151" s="76" t="s">
        <v>114</v>
      </c>
      <c r="L151" s="70"/>
      <c r="M151" s="70"/>
      <c r="N151" s="70"/>
      <c r="O151" s="70"/>
      <c r="P151" s="70"/>
      <c r="Q151" s="70"/>
      <c r="R151" s="70"/>
      <c r="S151" s="70"/>
      <c r="T151" s="435">
        <v>430.9875</v>
      </c>
      <c r="U151" s="435">
        <f t="shared" si="38"/>
        <v>1723.95</v>
      </c>
      <c r="V151" s="435">
        <v>113.25</v>
      </c>
      <c r="W151" s="435">
        <f t="shared" si="35"/>
        <v>453</v>
      </c>
      <c r="X151" s="466">
        <f t="shared" si="39"/>
        <v>2176.95</v>
      </c>
      <c r="Y151" s="455">
        <v>2176.96</v>
      </c>
      <c r="Z151" s="455">
        <v>0</v>
      </c>
      <c r="AA151" s="64">
        <f t="shared" si="36"/>
        <v>2176.96</v>
      </c>
      <c r="AB151" s="467">
        <f t="shared" si="37"/>
        <v>-0.010000000000218279</v>
      </c>
      <c r="AC151" s="70">
        <f>442.45+0.39</f>
        <v>442.84</v>
      </c>
      <c r="AD151" s="63"/>
      <c r="AE151" s="70">
        <v>116.36</v>
      </c>
      <c r="AF151" s="79"/>
      <c r="AG151" s="206">
        <f t="shared" si="24"/>
        <v>559.1999999999999</v>
      </c>
      <c r="AH151" s="210">
        <v>559.2</v>
      </c>
    </row>
    <row r="152" spans="1:34" s="406" customFormat="1" ht="12.75">
      <c r="A152" s="106" t="s">
        <v>293</v>
      </c>
      <c r="B152" s="107" t="s">
        <v>150</v>
      </c>
      <c r="C152" s="568" t="s">
        <v>149</v>
      </c>
      <c r="D152" s="568"/>
      <c r="E152" s="568"/>
      <c r="F152" s="568"/>
      <c r="G152" s="568"/>
      <c r="H152" s="568"/>
      <c r="I152" s="568"/>
      <c r="J152" s="109">
        <v>0</v>
      </c>
      <c r="K152" s="76" t="s">
        <v>63</v>
      </c>
      <c r="L152" s="70"/>
      <c r="M152" s="70"/>
      <c r="N152" s="70"/>
      <c r="O152" s="70"/>
      <c r="P152" s="70"/>
      <c r="Q152" s="70"/>
      <c r="R152" s="70"/>
      <c r="S152" s="70"/>
      <c r="T152" s="435">
        <v>741.375992063492</v>
      </c>
      <c r="U152" s="435">
        <f t="shared" si="38"/>
        <v>0</v>
      </c>
      <c r="V152" s="435">
        <v>39.422619047619044</v>
      </c>
      <c r="W152" s="435">
        <f t="shared" si="35"/>
        <v>0</v>
      </c>
      <c r="X152" s="436">
        <f t="shared" si="39"/>
        <v>0</v>
      </c>
      <c r="Y152" s="455">
        <v>7870.45</v>
      </c>
      <c r="Z152" s="455">
        <v>7870.45</v>
      </c>
      <c r="AA152" s="64">
        <f t="shared" si="36"/>
        <v>0</v>
      </c>
      <c r="AB152" s="64" t="str">
        <f t="shared" si="37"/>
        <v>OK</v>
      </c>
      <c r="AC152" s="70">
        <f>761.61+0.15</f>
        <v>761.76</v>
      </c>
      <c r="AD152" s="63"/>
      <c r="AE152" s="70">
        <v>40.51</v>
      </c>
      <c r="AF152" s="79"/>
      <c r="AG152" s="206">
        <f t="shared" si="24"/>
        <v>802.27</v>
      </c>
      <c r="AH152" s="210">
        <v>802.27</v>
      </c>
    </row>
    <row r="153" spans="1:34" s="406" customFormat="1" ht="12.75">
      <c r="A153" s="106" t="s">
        <v>294</v>
      </c>
      <c r="B153" s="107" t="s">
        <v>152</v>
      </c>
      <c r="C153" s="568" t="s">
        <v>151</v>
      </c>
      <c r="D153" s="568"/>
      <c r="E153" s="568"/>
      <c r="F153" s="568"/>
      <c r="G153" s="568"/>
      <c r="H153" s="568"/>
      <c r="I153" s="568"/>
      <c r="J153" s="109">
        <f>2.7-1.7</f>
        <v>1.0000000000000002</v>
      </c>
      <c r="K153" s="76" t="s">
        <v>63</v>
      </c>
      <c r="L153" s="70"/>
      <c r="M153" s="70"/>
      <c r="N153" s="70"/>
      <c r="O153" s="70"/>
      <c r="P153" s="70"/>
      <c r="Q153" s="70"/>
      <c r="R153" s="70"/>
      <c r="S153" s="70"/>
      <c r="T153" s="435">
        <v>353.22222222222223</v>
      </c>
      <c r="U153" s="435">
        <f t="shared" si="38"/>
        <v>353.2222222222223</v>
      </c>
      <c r="V153" s="435">
        <v>84.62962962962962</v>
      </c>
      <c r="W153" s="435">
        <f t="shared" si="35"/>
        <v>84.62962962962963</v>
      </c>
      <c r="X153" s="436">
        <f t="shared" si="39"/>
        <v>437.85</v>
      </c>
      <c r="Y153" s="455">
        <v>1182.2</v>
      </c>
      <c r="Z153" s="455">
        <v>744.31</v>
      </c>
      <c r="AA153" s="64">
        <f t="shared" si="36"/>
        <v>437.8900000000001</v>
      </c>
      <c r="AB153" s="467">
        <f>IF((X153=AA153),"OK",(X153-AA153))</f>
        <v>-0.04000000000007731</v>
      </c>
      <c r="AC153" s="70">
        <f>362.61+0.32</f>
        <v>362.93</v>
      </c>
      <c r="AD153" s="63"/>
      <c r="AE153" s="70">
        <v>86.96</v>
      </c>
      <c r="AF153" s="79"/>
      <c r="AG153" s="206">
        <f t="shared" si="24"/>
        <v>449.89</v>
      </c>
      <c r="AH153" s="210">
        <v>449.89</v>
      </c>
    </row>
    <row r="154" spans="1:34" s="406" customFormat="1" ht="19.5" customHeight="1">
      <c r="A154" s="106" t="s">
        <v>389</v>
      </c>
      <c r="B154" s="107" t="s">
        <v>154</v>
      </c>
      <c r="C154" s="568" t="s">
        <v>153</v>
      </c>
      <c r="D154" s="568"/>
      <c r="E154" s="568"/>
      <c r="F154" s="568"/>
      <c r="G154" s="568"/>
      <c r="H154" s="568"/>
      <c r="I154" s="568"/>
      <c r="J154" s="109">
        <v>6.2</v>
      </c>
      <c r="K154" s="76" t="s">
        <v>63</v>
      </c>
      <c r="L154" s="70"/>
      <c r="M154" s="70"/>
      <c r="N154" s="70"/>
      <c r="O154" s="70"/>
      <c r="P154" s="70"/>
      <c r="Q154" s="70"/>
      <c r="R154" s="70"/>
      <c r="S154" s="70"/>
      <c r="T154" s="435">
        <v>355.93064516129033</v>
      </c>
      <c r="U154" s="435">
        <f>J154*T154</f>
        <v>2206.77</v>
      </c>
      <c r="V154" s="435">
        <v>31.520967741935483</v>
      </c>
      <c r="W154" s="435">
        <f t="shared" si="35"/>
        <v>195.43</v>
      </c>
      <c r="X154" s="436">
        <f t="shared" si="39"/>
        <v>2402.2</v>
      </c>
      <c r="Y154" s="455">
        <v>2402.2</v>
      </c>
      <c r="Z154" s="455">
        <v>0</v>
      </c>
      <c r="AA154" s="64">
        <f t="shared" si="36"/>
        <v>2402.2</v>
      </c>
      <c r="AB154" s="64" t="str">
        <f t="shared" si="37"/>
        <v>OK</v>
      </c>
      <c r="AC154" s="70">
        <f>365.61+0.11</f>
        <v>365.72</v>
      </c>
      <c r="AD154" s="63"/>
      <c r="AE154" s="70">
        <v>32.39</v>
      </c>
      <c r="AF154" s="79"/>
      <c r="AG154" s="206">
        <f t="shared" si="24"/>
        <v>398.11</v>
      </c>
      <c r="AH154" s="210">
        <v>398.11</v>
      </c>
    </row>
    <row r="155" spans="1:34" s="406" customFormat="1" ht="12.75">
      <c r="A155" s="123">
        <v>11</v>
      </c>
      <c r="B155" s="575" t="s">
        <v>299</v>
      </c>
      <c r="C155" s="575"/>
      <c r="D155" s="575"/>
      <c r="E155" s="575"/>
      <c r="F155" s="575"/>
      <c r="G155" s="575"/>
      <c r="H155" s="575"/>
      <c r="I155" s="575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437"/>
      <c r="U155" s="433">
        <f>SUM(U156:U157)</f>
        <v>773.13</v>
      </c>
      <c r="V155" s="437"/>
      <c r="W155" s="433">
        <f>SUM(W156:W157)</f>
        <v>160.5</v>
      </c>
      <c r="X155" s="434">
        <f>SUM(X156:X157)</f>
        <v>933.63</v>
      </c>
      <c r="Y155" s="454"/>
      <c r="Z155" s="454"/>
      <c r="AA155" s="454"/>
      <c r="AB155" s="454"/>
      <c r="AC155" s="207" t="s">
        <v>395</v>
      </c>
      <c r="AD155" s="115"/>
      <c r="AE155" s="207" t="s">
        <v>396</v>
      </c>
      <c r="AF155" s="114"/>
      <c r="AG155" s="205" t="s">
        <v>486</v>
      </c>
      <c r="AH155" s="209" t="s">
        <v>492</v>
      </c>
    </row>
    <row r="156" spans="1:34" s="406" customFormat="1" ht="12.75">
      <c r="A156" s="122" t="s">
        <v>250</v>
      </c>
      <c r="B156" s="107" t="s">
        <v>298</v>
      </c>
      <c r="C156" s="587" t="s">
        <v>297</v>
      </c>
      <c r="D156" s="587"/>
      <c r="E156" s="587"/>
      <c r="F156" s="587"/>
      <c r="G156" s="587"/>
      <c r="H156" s="587"/>
      <c r="I156" s="587"/>
      <c r="J156" s="81">
        <v>1</v>
      </c>
      <c r="K156" s="81" t="s">
        <v>114</v>
      </c>
      <c r="L156" s="81"/>
      <c r="M156" s="81"/>
      <c r="N156" s="81"/>
      <c r="O156" s="81"/>
      <c r="P156" s="81"/>
      <c r="Q156" s="81"/>
      <c r="R156" s="81"/>
      <c r="S156" s="81"/>
      <c r="T156" s="435">
        <v>158.9</v>
      </c>
      <c r="U156" s="435">
        <f>(J156*T156)</f>
        <v>158.9</v>
      </c>
      <c r="V156" s="435">
        <v>6.93</v>
      </c>
      <c r="W156" s="435">
        <f>(V156*J156)</f>
        <v>6.93</v>
      </c>
      <c r="X156" s="466">
        <f>(U156+W156)</f>
        <v>165.83</v>
      </c>
      <c r="Y156" s="455">
        <v>165.82</v>
      </c>
      <c r="Z156" s="455">
        <v>0</v>
      </c>
      <c r="AA156" s="64">
        <f>IF((Y156=Z156),0,(Y156-Z156))</f>
        <v>165.82</v>
      </c>
      <c r="AB156" s="467">
        <f>IF((X156=AA156),"OK",(X156-AA156))</f>
        <v>0.010000000000019327</v>
      </c>
      <c r="AC156" s="110">
        <v>163.27</v>
      </c>
      <c r="AD156" s="110"/>
      <c r="AE156" s="110">
        <v>7.12</v>
      </c>
      <c r="AF156" s="124"/>
      <c r="AG156" s="206">
        <f t="shared" si="24"/>
        <v>170.39000000000001</v>
      </c>
      <c r="AH156" s="210">
        <v>170.39</v>
      </c>
    </row>
    <row r="157" spans="1:34" s="412" customFormat="1" ht="13.5" thickBot="1">
      <c r="A157" s="262" t="s">
        <v>251</v>
      </c>
      <c r="B157" s="237" t="s">
        <v>516</v>
      </c>
      <c r="C157" s="641" t="s">
        <v>517</v>
      </c>
      <c r="D157" s="641"/>
      <c r="E157" s="641"/>
      <c r="F157" s="641"/>
      <c r="G157" s="641"/>
      <c r="H157" s="641"/>
      <c r="I157" s="641"/>
      <c r="J157" s="238">
        <v>5</v>
      </c>
      <c r="K157" s="238" t="s">
        <v>114</v>
      </c>
      <c r="L157" s="238"/>
      <c r="M157" s="238"/>
      <c r="N157" s="238"/>
      <c r="O157" s="238"/>
      <c r="P157" s="238"/>
      <c r="Q157" s="238"/>
      <c r="R157" s="238"/>
      <c r="S157" s="238"/>
      <c r="T157" s="445">
        <v>122.846</v>
      </c>
      <c r="U157" s="445">
        <f>(J157*T157)</f>
        <v>614.23</v>
      </c>
      <c r="V157" s="445">
        <v>30.714</v>
      </c>
      <c r="W157" s="445">
        <f>(V157*J157)</f>
        <v>153.57</v>
      </c>
      <c r="X157" s="446">
        <f>ROUND(U157+W157,2)</f>
        <v>767.8</v>
      </c>
      <c r="Y157" s="455">
        <v>767.8</v>
      </c>
      <c r="Z157" s="455">
        <v>0</v>
      </c>
      <c r="AA157" s="64">
        <f>IF((Y157=Z157),0,(Y157-Z157))</f>
        <v>767.8</v>
      </c>
      <c r="AB157" s="64" t="str">
        <f>IF((X157=AA157),"OK",(X157-AA157))</f>
        <v>OK</v>
      </c>
      <c r="AC157" s="228">
        <f>157.78*0.8</f>
        <v>126.224</v>
      </c>
      <c r="AD157" s="228"/>
      <c r="AE157" s="228">
        <f>157.78*0.2</f>
        <v>31.556</v>
      </c>
      <c r="AF157" s="229"/>
      <c r="AG157" s="223">
        <f t="shared" si="24"/>
        <v>157.78</v>
      </c>
      <c r="AH157" s="224">
        <v>157.78</v>
      </c>
    </row>
    <row r="158" spans="1:36" ht="13.5" thickBot="1">
      <c r="A158" s="263"/>
      <c r="B158" s="264"/>
      <c r="C158" s="82" t="s">
        <v>94</v>
      </c>
      <c r="D158" s="265"/>
      <c r="E158" s="265"/>
      <c r="F158" s="265"/>
      <c r="G158" s="265"/>
      <c r="H158" s="265"/>
      <c r="I158" s="265"/>
      <c r="J158" s="266"/>
      <c r="K158" s="267"/>
      <c r="L158" s="266"/>
      <c r="M158" s="266"/>
      <c r="N158" s="266"/>
      <c r="O158" s="266"/>
      <c r="P158" s="266"/>
      <c r="Q158" s="268"/>
      <c r="R158" s="268"/>
      <c r="S158" s="268"/>
      <c r="T158" s="447"/>
      <c r="U158" s="448">
        <f>U26+U29+U50+U83+U110+U132+U141+U155+U40+U72+U76</f>
        <v>385160.550985821</v>
      </c>
      <c r="V158" s="448"/>
      <c r="W158" s="448">
        <f>W26+W29+W50+W83+W110+W132+W141+W155+W40+W72+W76</f>
        <v>101843.50692144048</v>
      </c>
      <c r="X158" s="448">
        <f>X26+X29+X50+X83+X110+X132+X141+X155+X40+X72+X76</f>
        <v>487004.0579072614</v>
      </c>
      <c r="Y158" s="459">
        <f>SUM(Y26:Y157)</f>
        <v>593884.2799999997</v>
      </c>
      <c r="Z158" s="459">
        <f>SUM(Z26:Z157)</f>
        <v>106880.56999999999</v>
      </c>
      <c r="AA158" s="459">
        <f>SUM(AA26:AA157)</f>
        <v>487003.71000000014</v>
      </c>
      <c r="AB158" s="459">
        <f>SUM(AB26:AB157)</f>
        <v>0.3499999999974932</v>
      </c>
      <c r="AC158" s="63"/>
      <c r="AD158" s="63"/>
      <c r="AE158" s="63"/>
      <c r="AF158" s="405"/>
      <c r="AG158" s="406"/>
      <c r="AH158" s="405"/>
      <c r="AI158" s="406"/>
      <c r="AJ158" s="406"/>
    </row>
    <row r="159" spans="1:36" ht="12.75">
      <c r="A159" s="269"/>
      <c r="B159" s="270"/>
      <c r="C159" s="271"/>
      <c r="D159" s="271"/>
      <c r="E159" s="271"/>
      <c r="F159" s="271"/>
      <c r="G159" s="271"/>
      <c r="H159" s="271"/>
      <c r="I159" s="271"/>
      <c r="J159" s="272"/>
      <c r="K159" s="273"/>
      <c r="L159" s="274"/>
      <c r="M159" s="274"/>
      <c r="N159" s="274"/>
      <c r="O159" s="274"/>
      <c r="P159" s="274"/>
      <c r="Q159" s="275"/>
      <c r="R159" s="276"/>
      <c r="S159" s="276"/>
      <c r="T159" s="271"/>
      <c r="U159" s="271"/>
      <c r="V159" s="271"/>
      <c r="W159" s="271"/>
      <c r="X159" s="277"/>
      <c r="Y159" s="7"/>
      <c r="Z159" s="7"/>
      <c r="AA159" s="7"/>
      <c r="AF159" s="405"/>
      <c r="AG159" s="406"/>
      <c r="AH159" s="405"/>
      <c r="AI159" s="406"/>
      <c r="AJ159" s="406"/>
    </row>
    <row r="160" spans="1:36" ht="12.75">
      <c r="A160" s="525" t="s">
        <v>268</v>
      </c>
      <c r="B160" s="526"/>
      <c r="C160" s="526"/>
      <c r="D160" s="526"/>
      <c r="E160" s="526"/>
      <c r="F160" s="526"/>
      <c r="G160" s="530">
        <f>W158</f>
        <v>101843.50692144048</v>
      </c>
      <c r="H160" s="530"/>
      <c r="I160" s="53" t="e">
        <f>Extenso_Valor(G160)</f>
        <v>#NAME?</v>
      </c>
      <c r="J160" s="279"/>
      <c r="K160" s="280"/>
      <c r="L160" s="281"/>
      <c r="M160" s="281"/>
      <c r="N160" s="281"/>
      <c r="O160" s="281"/>
      <c r="P160" s="281"/>
      <c r="Q160" s="282"/>
      <c r="R160" s="283"/>
      <c r="S160" s="283"/>
      <c r="T160" s="284"/>
      <c r="U160" s="284"/>
      <c r="V160" s="2"/>
      <c r="W160" s="2"/>
      <c r="X160" s="285"/>
      <c r="Y160" s="2"/>
      <c r="Z160" s="2"/>
      <c r="AA160" s="2"/>
      <c r="AB160" s="388"/>
      <c r="AC160" s="388"/>
      <c r="AD160" s="388"/>
      <c r="AE160" s="388"/>
      <c r="AF160" s="406"/>
      <c r="AG160" s="406"/>
      <c r="AH160" s="405"/>
      <c r="AI160" s="406"/>
      <c r="AJ160" s="406"/>
    </row>
    <row r="161" spans="1:36" ht="12.75">
      <c r="A161" s="525" t="s">
        <v>269</v>
      </c>
      <c r="B161" s="526"/>
      <c r="C161" s="526"/>
      <c r="D161" s="526"/>
      <c r="E161" s="526"/>
      <c r="F161" s="526"/>
      <c r="G161" s="530">
        <f>U158</f>
        <v>385160.550985821</v>
      </c>
      <c r="H161" s="530"/>
      <c r="I161" s="53" t="e">
        <f>Extenso_Valor(G161)</f>
        <v>#NAME?</v>
      </c>
      <c r="J161" s="279"/>
      <c r="K161" s="280"/>
      <c r="L161" s="281"/>
      <c r="M161" s="281"/>
      <c r="N161" s="281"/>
      <c r="O161" s="281"/>
      <c r="P161" s="281"/>
      <c r="Q161" s="282"/>
      <c r="R161" s="283"/>
      <c r="S161" s="283"/>
      <c r="T161" s="284"/>
      <c r="U161" s="284"/>
      <c r="V161" s="2"/>
      <c r="W161" s="2"/>
      <c r="X161" s="285"/>
      <c r="Y161" s="2"/>
      <c r="Z161" s="2"/>
      <c r="AA161" s="2"/>
      <c r="AB161" s="388"/>
      <c r="AC161" s="388"/>
      <c r="AD161" s="388"/>
      <c r="AE161" s="388"/>
      <c r="AF161" s="406"/>
      <c r="AG161" s="406"/>
      <c r="AH161" s="405"/>
      <c r="AI161" s="406"/>
      <c r="AJ161" s="406"/>
    </row>
    <row r="162" spans="1:36" ht="13.5" thickBot="1">
      <c r="A162" s="527" t="s">
        <v>270</v>
      </c>
      <c r="B162" s="528"/>
      <c r="C162" s="528"/>
      <c r="D162" s="528"/>
      <c r="E162" s="528"/>
      <c r="F162" s="528"/>
      <c r="G162" s="529">
        <f>X158</f>
        <v>487004.0579072614</v>
      </c>
      <c r="H162" s="529"/>
      <c r="I162" s="128" t="e">
        <f>Extenso_Valor(G162)</f>
        <v>#NAME?</v>
      </c>
      <c r="J162" s="286"/>
      <c r="K162" s="287"/>
      <c r="L162" s="288"/>
      <c r="M162" s="288"/>
      <c r="N162" s="288"/>
      <c r="O162" s="288"/>
      <c r="P162" s="288"/>
      <c r="Q162" s="289"/>
      <c r="R162" s="290"/>
      <c r="S162" s="290"/>
      <c r="T162" s="291"/>
      <c r="U162" s="291"/>
      <c r="V162" s="17"/>
      <c r="W162" s="17"/>
      <c r="X162" s="292"/>
      <c r="Y162" s="2"/>
      <c r="Z162" s="2"/>
      <c r="AA162" s="2"/>
      <c r="AB162" s="388"/>
      <c r="AC162" s="420"/>
      <c r="AD162" s="388"/>
      <c r="AE162" s="388"/>
      <c r="AF162" s="406"/>
      <c r="AG162" s="406"/>
      <c r="AH162" s="405"/>
      <c r="AI162" s="406"/>
      <c r="AJ162" s="406"/>
    </row>
    <row r="163" spans="1:36" ht="12.75">
      <c r="A163" s="45"/>
      <c r="B163" s="45"/>
      <c r="C163" s="7"/>
      <c r="D163" s="7"/>
      <c r="E163" s="7"/>
      <c r="F163" s="7"/>
      <c r="G163" s="7"/>
      <c r="H163" s="7"/>
      <c r="I163" s="7"/>
      <c r="J163" s="10"/>
      <c r="K163" s="11"/>
      <c r="L163" s="31"/>
      <c r="M163" s="31"/>
      <c r="N163" s="31"/>
      <c r="O163" s="31"/>
      <c r="P163" s="31"/>
      <c r="Q163" s="32"/>
      <c r="R163" s="34"/>
      <c r="S163" s="34"/>
      <c r="T163" s="7"/>
      <c r="U163" s="3"/>
      <c r="V163" s="3"/>
      <c r="W163" s="3"/>
      <c r="X163" s="3"/>
      <c r="Y163" s="3"/>
      <c r="Z163" s="3"/>
      <c r="AA163" s="3"/>
      <c r="AB163" s="7"/>
      <c r="AC163" s="388"/>
      <c r="AD163" s="388"/>
      <c r="AE163" s="388"/>
      <c r="AF163" s="406"/>
      <c r="AG163" s="406"/>
      <c r="AH163" s="405"/>
      <c r="AI163" s="406"/>
      <c r="AJ163" s="406"/>
    </row>
    <row r="164" spans="1:36" ht="12.75">
      <c r="A164" s="45"/>
      <c r="B164" s="45"/>
      <c r="C164" s="7"/>
      <c r="D164" s="7"/>
      <c r="E164" s="7"/>
      <c r="F164" s="7"/>
      <c r="G164" s="7"/>
      <c r="H164" s="7"/>
      <c r="I164" s="7"/>
      <c r="J164" s="10"/>
      <c r="K164" s="11"/>
      <c r="L164" s="31"/>
      <c r="M164" s="31"/>
      <c r="N164" s="31"/>
      <c r="O164" s="31"/>
      <c r="P164" s="31"/>
      <c r="Q164" s="32"/>
      <c r="R164" s="34"/>
      <c r="S164" s="34"/>
      <c r="T164" s="7"/>
      <c r="U164" s="3"/>
      <c r="V164" s="3"/>
      <c r="W164" s="3"/>
      <c r="X164" s="3"/>
      <c r="Y164" s="3"/>
      <c r="Z164" s="3"/>
      <c r="AA164" s="3"/>
      <c r="AB164" s="7"/>
      <c r="AC164" s="388"/>
      <c r="AD164" s="388"/>
      <c r="AE164" s="388"/>
      <c r="AF164" s="406"/>
      <c r="AG164" s="406"/>
      <c r="AH164" s="405"/>
      <c r="AI164" s="406"/>
      <c r="AJ164" s="406"/>
    </row>
    <row r="165" spans="1:36" ht="12.75">
      <c r="A165" s="45"/>
      <c r="B165" s="45"/>
      <c r="C165" s="7"/>
      <c r="D165" s="7"/>
      <c r="E165" s="7"/>
      <c r="F165" s="7"/>
      <c r="G165" s="7"/>
      <c r="H165" s="7"/>
      <c r="I165" s="7"/>
      <c r="J165" s="10"/>
      <c r="K165" s="11"/>
      <c r="L165" s="31"/>
      <c r="M165" s="31"/>
      <c r="N165" s="31"/>
      <c r="O165" s="31"/>
      <c r="P165" s="31"/>
      <c r="Q165" s="32"/>
      <c r="R165" s="34"/>
      <c r="S165" s="34"/>
      <c r="T165" s="7"/>
      <c r="U165" s="3"/>
      <c r="V165" s="3"/>
      <c r="W165" s="3"/>
      <c r="X165" s="3"/>
      <c r="Y165" s="3"/>
      <c r="Z165" s="3"/>
      <c r="AA165" s="3"/>
      <c r="AB165" s="7"/>
      <c r="AC165" s="388"/>
      <c r="AD165" s="388"/>
      <c r="AE165" s="388"/>
      <c r="AF165" s="406"/>
      <c r="AG165" s="406"/>
      <c r="AH165" s="405"/>
      <c r="AI165" s="406"/>
      <c r="AJ165" s="406"/>
    </row>
    <row r="166" spans="1:36" ht="12.75">
      <c r="A166" s="45"/>
      <c r="B166" s="45"/>
      <c r="C166" s="7"/>
      <c r="D166" s="7"/>
      <c r="E166" s="7"/>
      <c r="F166" s="7"/>
      <c r="G166" s="7"/>
      <c r="H166" s="7"/>
      <c r="I166" s="7"/>
      <c r="J166" s="10"/>
      <c r="K166" s="11"/>
      <c r="L166" s="31"/>
      <c r="M166" s="31"/>
      <c r="N166" s="31"/>
      <c r="O166" s="31"/>
      <c r="P166" s="31"/>
      <c r="Q166" s="32"/>
      <c r="R166" s="34"/>
      <c r="S166" s="34"/>
      <c r="T166" s="7"/>
      <c r="U166" s="3"/>
      <c r="V166" s="3"/>
      <c r="W166" s="3"/>
      <c r="X166" s="3"/>
      <c r="Y166" s="3"/>
      <c r="Z166" s="3"/>
      <c r="AA166" s="3"/>
      <c r="AB166" s="7"/>
      <c r="AC166" s="388"/>
      <c r="AD166" s="388"/>
      <c r="AE166" s="388"/>
      <c r="AF166" s="406"/>
      <c r="AG166" s="406"/>
      <c r="AH166" s="405"/>
      <c r="AI166" s="406"/>
      <c r="AJ166" s="406"/>
    </row>
    <row r="167" spans="1:36" ht="13.5" thickBot="1">
      <c r="A167" s="45"/>
      <c r="B167" s="45"/>
      <c r="C167" s="7"/>
      <c r="D167" s="7"/>
      <c r="E167" s="7"/>
      <c r="F167" s="7"/>
      <c r="G167" s="7"/>
      <c r="H167" s="7"/>
      <c r="I167" s="7"/>
      <c r="J167" s="10"/>
      <c r="K167" s="11"/>
      <c r="L167" s="31"/>
      <c r="M167" s="31"/>
      <c r="N167" s="31"/>
      <c r="O167" s="31"/>
      <c r="P167" s="31"/>
      <c r="Q167" s="32"/>
      <c r="R167" s="34"/>
      <c r="S167" s="34"/>
      <c r="T167" s="7"/>
      <c r="U167" s="3"/>
      <c r="V167" s="3"/>
      <c r="W167" s="3"/>
      <c r="X167" s="3"/>
      <c r="Y167" s="3"/>
      <c r="Z167" s="3"/>
      <c r="AA167" s="3"/>
      <c r="AB167" s="7"/>
      <c r="AC167" s="388"/>
      <c r="AD167" s="388"/>
      <c r="AE167" s="388"/>
      <c r="AF167" s="406"/>
      <c r="AG167" s="406"/>
      <c r="AH167" s="405"/>
      <c r="AI167" s="406"/>
      <c r="AJ167" s="406"/>
    </row>
    <row r="168" spans="1:36" ht="12.75">
      <c r="A168" s="269"/>
      <c r="B168" s="270"/>
      <c r="C168" s="271"/>
      <c r="D168" s="271"/>
      <c r="E168" s="271"/>
      <c r="F168" s="271"/>
      <c r="G168" s="271"/>
      <c r="H168" s="271"/>
      <c r="I168" s="271"/>
      <c r="J168" s="272"/>
      <c r="K168" s="273"/>
      <c r="L168" s="274"/>
      <c r="M168" s="274"/>
      <c r="N168" s="274"/>
      <c r="O168" s="274"/>
      <c r="P168" s="274"/>
      <c r="Q168" s="275"/>
      <c r="R168" s="276"/>
      <c r="S168" s="276"/>
      <c r="T168" s="271"/>
      <c r="U168" s="293"/>
      <c r="V168" s="293"/>
      <c r="W168" s="293"/>
      <c r="X168" s="294"/>
      <c r="Y168" s="3"/>
      <c r="Z168" s="3"/>
      <c r="AA168" s="3"/>
      <c r="AB168" s="7"/>
      <c r="AC168" s="388"/>
      <c r="AD168" s="388"/>
      <c r="AE168" s="388"/>
      <c r="AF168" s="406"/>
      <c r="AG168" s="406"/>
      <c r="AH168" s="405"/>
      <c r="AI168" s="406"/>
      <c r="AJ168" s="406"/>
    </row>
    <row r="169" spans="1:36" ht="12.75">
      <c r="A169" s="541" t="s">
        <v>457</v>
      </c>
      <c r="B169" s="542"/>
      <c r="C169" s="542"/>
      <c r="D169" s="542"/>
      <c r="E169" s="542"/>
      <c r="F169" s="542"/>
      <c r="G169" s="542"/>
      <c r="H169" s="542"/>
      <c r="I169" s="542"/>
      <c r="J169" s="542"/>
      <c r="K169" s="542"/>
      <c r="L169" s="542"/>
      <c r="M169" s="542"/>
      <c r="N169" s="542"/>
      <c r="O169" s="542"/>
      <c r="P169" s="542"/>
      <c r="Q169" s="542"/>
      <c r="R169" s="542"/>
      <c r="S169" s="542"/>
      <c r="T169" s="542"/>
      <c r="U169" s="542"/>
      <c r="V169" s="542"/>
      <c r="W169" s="542"/>
      <c r="X169" s="543"/>
      <c r="Y169" s="398"/>
      <c r="Z169" s="398"/>
      <c r="AA169" s="398"/>
      <c r="AB169" s="388"/>
      <c r="AC169" s="388"/>
      <c r="AD169" s="388"/>
      <c r="AE169" s="388"/>
      <c r="AF169" s="406"/>
      <c r="AG169" s="406"/>
      <c r="AH169" s="405"/>
      <c r="AI169" s="406"/>
      <c r="AJ169" s="406"/>
    </row>
    <row r="170" spans="1:36" ht="12.75">
      <c r="A170" s="295"/>
      <c r="B170" s="296"/>
      <c r="C170" s="297"/>
      <c r="D170" s="297"/>
      <c r="E170" s="297"/>
      <c r="F170" s="297"/>
      <c r="G170" s="297"/>
      <c r="H170" s="297"/>
      <c r="I170" s="297"/>
      <c r="J170" s="298"/>
      <c r="K170" s="299"/>
      <c r="L170" s="300"/>
      <c r="M170" s="300"/>
      <c r="N170" s="300"/>
      <c r="O170" s="300"/>
      <c r="P170" s="300"/>
      <c r="Q170" s="301"/>
      <c r="R170" s="33"/>
      <c r="S170" s="33"/>
      <c r="T170" s="297"/>
      <c r="U170" s="297"/>
      <c r="V170" s="297"/>
      <c r="W170" s="297"/>
      <c r="X170" s="302"/>
      <c r="Y170" s="297"/>
      <c r="Z170" s="297"/>
      <c r="AA170" s="297"/>
      <c r="AB170" s="388"/>
      <c r="AC170" s="388"/>
      <c r="AD170" s="388"/>
      <c r="AE170" s="388"/>
      <c r="AF170" s="406"/>
      <c r="AG170" s="406"/>
      <c r="AH170" s="405"/>
      <c r="AI170" s="406"/>
      <c r="AJ170" s="406"/>
    </row>
    <row r="171" spans="1:36" ht="12.75">
      <c r="A171" s="581" t="s">
        <v>440</v>
      </c>
      <c r="B171" s="582"/>
      <c r="C171" s="582"/>
      <c r="D171" s="582"/>
      <c r="E171" s="582"/>
      <c r="F171" s="582"/>
      <c r="G171" s="582"/>
      <c r="H171" s="582"/>
      <c r="I171" s="582"/>
      <c r="J171" s="582"/>
      <c r="K171" s="582"/>
      <c r="L171" s="582"/>
      <c r="M171" s="582"/>
      <c r="N171" s="582"/>
      <c r="O171" s="582"/>
      <c r="P171" s="582"/>
      <c r="Q171" s="582"/>
      <c r="R171" s="582"/>
      <c r="S171" s="582"/>
      <c r="T171" s="582"/>
      <c r="U171" s="582"/>
      <c r="V171" s="582"/>
      <c r="W171" s="582"/>
      <c r="X171" s="583"/>
      <c r="Y171" s="396"/>
      <c r="Z171" s="396"/>
      <c r="AA171" s="396"/>
      <c r="AB171" s="388"/>
      <c r="AC171" s="388"/>
      <c r="AD171" s="388"/>
      <c r="AE171" s="388"/>
      <c r="AF171" s="406"/>
      <c r="AG171" s="406"/>
      <c r="AH171" s="405"/>
      <c r="AI171" s="406"/>
      <c r="AJ171" s="406"/>
    </row>
    <row r="172" spans="1:36" ht="12.75">
      <c r="A172" s="295"/>
      <c r="B172" s="296"/>
      <c r="C172" s="297"/>
      <c r="D172" s="297"/>
      <c r="E172" s="297"/>
      <c r="F172" s="297"/>
      <c r="G172" s="297"/>
      <c r="H172" s="297"/>
      <c r="I172" s="297"/>
      <c r="J172" s="298"/>
      <c r="K172" s="299"/>
      <c r="L172" s="300"/>
      <c r="M172" s="300"/>
      <c r="N172" s="300"/>
      <c r="O172" s="300"/>
      <c r="P172" s="300"/>
      <c r="Q172" s="301"/>
      <c r="R172" s="33"/>
      <c r="S172" s="33"/>
      <c r="T172" s="297"/>
      <c r="U172" s="297"/>
      <c r="V172" s="297"/>
      <c r="W172" s="297"/>
      <c r="X172" s="302"/>
      <c r="Y172" s="297"/>
      <c r="Z172" s="297"/>
      <c r="AA172" s="297"/>
      <c r="AB172" s="388"/>
      <c r="AC172" s="388"/>
      <c r="AD172" s="388"/>
      <c r="AE172" s="388"/>
      <c r="AF172" s="406"/>
      <c r="AG172" s="406"/>
      <c r="AH172" s="405"/>
      <c r="AI172" s="406"/>
      <c r="AJ172" s="406"/>
    </row>
    <row r="173" spans="1:36" ht="25.5" customHeight="1">
      <c r="A173" s="522" t="s">
        <v>466</v>
      </c>
      <c r="B173" s="523"/>
      <c r="C173" s="523"/>
      <c r="D173" s="523"/>
      <c r="E173" s="523"/>
      <c r="F173" s="523"/>
      <c r="G173" s="523"/>
      <c r="H173" s="523"/>
      <c r="I173" s="523"/>
      <c r="J173" s="523"/>
      <c r="K173" s="523"/>
      <c r="L173" s="523"/>
      <c r="M173" s="523"/>
      <c r="N173" s="523"/>
      <c r="O173" s="523"/>
      <c r="P173" s="523"/>
      <c r="Q173" s="523"/>
      <c r="R173" s="523"/>
      <c r="S173" s="523"/>
      <c r="T173" s="523"/>
      <c r="U173" s="523"/>
      <c r="V173" s="523"/>
      <c r="W173" s="523"/>
      <c r="X173" s="524"/>
      <c r="Y173" s="400"/>
      <c r="Z173" s="400"/>
      <c r="AA173" s="400"/>
      <c r="AB173" s="388"/>
      <c r="AC173" s="388"/>
      <c r="AD173" s="388"/>
      <c r="AE173" s="388"/>
      <c r="AF173" s="406"/>
      <c r="AG173" s="406"/>
      <c r="AH173" s="405"/>
      <c r="AI173" s="406"/>
      <c r="AJ173" s="406"/>
    </row>
    <row r="174" spans="1:36" ht="12.75">
      <c r="A174" s="295"/>
      <c r="B174" s="296"/>
      <c r="C174" s="297"/>
      <c r="D174" s="297"/>
      <c r="E174" s="297"/>
      <c r="F174" s="297"/>
      <c r="G174" s="297"/>
      <c r="H174" s="297"/>
      <c r="I174" s="297"/>
      <c r="J174" s="298"/>
      <c r="K174" s="299"/>
      <c r="L174" s="300"/>
      <c r="M174" s="300"/>
      <c r="N174" s="300"/>
      <c r="O174" s="300"/>
      <c r="P174" s="300"/>
      <c r="Q174" s="301"/>
      <c r="R174" s="33"/>
      <c r="S174" s="33"/>
      <c r="T174" s="297"/>
      <c r="U174" s="297"/>
      <c r="V174" s="297"/>
      <c r="W174" s="297"/>
      <c r="X174" s="302"/>
      <c r="Y174" s="297"/>
      <c r="Z174" s="297"/>
      <c r="AA174" s="297"/>
      <c r="AB174" s="388"/>
      <c r="AC174" s="388"/>
      <c r="AD174" s="388"/>
      <c r="AE174" s="388"/>
      <c r="AF174" s="406"/>
      <c r="AG174" s="406"/>
      <c r="AH174" s="405"/>
      <c r="AI174" s="406"/>
      <c r="AJ174" s="406"/>
    </row>
    <row r="175" spans="1:36" ht="12.75">
      <c r="A175" s="581" t="s">
        <v>441</v>
      </c>
      <c r="B175" s="582"/>
      <c r="C175" s="582"/>
      <c r="D175" s="582"/>
      <c r="E175" s="582"/>
      <c r="F175" s="582"/>
      <c r="G175" s="582"/>
      <c r="H175" s="582"/>
      <c r="I175" s="582"/>
      <c r="J175" s="582"/>
      <c r="K175" s="582"/>
      <c r="L175" s="582"/>
      <c r="M175" s="582"/>
      <c r="N175" s="582"/>
      <c r="O175" s="582"/>
      <c r="P175" s="582"/>
      <c r="Q175" s="582"/>
      <c r="R175" s="582"/>
      <c r="S175" s="582"/>
      <c r="T175" s="582"/>
      <c r="U175" s="582"/>
      <c r="V175" s="582"/>
      <c r="W175" s="582"/>
      <c r="X175" s="583"/>
      <c r="Y175" s="396"/>
      <c r="Z175" s="396"/>
      <c r="AA175" s="396"/>
      <c r="AB175" s="388"/>
      <c r="AC175" s="388"/>
      <c r="AD175" s="388"/>
      <c r="AE175" s="388"/>
      <c r="AF175" s="406"/>
      <c r="AG175" s="406"/>
      <c r="AH175" s="405"/>
      <c r="AI175" s="406"/>
      <c r="AJ175" s="406"/>
    </row>
    <row r="176" spans="1:36" ht="12.75">
      <c r="A176" s="254"/>
      <c r="B176" s="255"/>
      <c r="C176" s="255"/>
      <c r="D176" s="255"/>
      <c r="E176" s="255"/>
      <c r="F176" s="255"/>
      <c r="G176" s="255"/>
      <c r="H176" s="255"/>
      <c r="I176" s="255"/>
      <c r="J176" s="255"/>
      <c r="K176" s="255"/>
      <c r="L176" s="255"/>
      <c r="M176" s="255"/>
      <c r="N176" s="255"/>
      <c r="O176" s="255"/>
      <c r="P176" s="255"/>
      <c r="Q176" s="255"/>
      <c r="R176" s="255"/>
      <c r="S176" s="255"/>
      <c r="T176" s="255"/>
      <c r="U176" s="255"/>
      <c r="V176" s="255"/>
      <c r="W176" s="255"/>
      <c r="X176" s="256"/>
      <c r="Y176" s="396"/>
      <c r="Z176" s="396"/>
      <c r="AA176" s="396"/>
      <c r="AB176" s="388"/>
      <c r="AC176" s="388"/>
      <c r="AD176" s="388"/>
      <c r="AE176" s="388"/>
      <c r="AF176" s="406"/>
      <c r="AG176" s="406"/>
      <c r="AH176" s="405"/>
      <c r="AI176" s="406"/>
      <c r="AJ176" s="406"/>
    </row>
    <row r="177" spans="1:36" ht="12.75">
      <c r="A177" s="254"/>
      <c r="B177" s="255"/>
      <c r="C177" s="255"/>
      <c r="D177" s="255"/>
      <c r="E177" s="255"/>
      <c r="F177" s="255"/>
      <c r="G177" s="255"/>
      <c r="H177" s="255"/>
      <c r="I177" s="255"/>
      <c r="J177" s="255"/>
      <c r="K177" s="255"/>
      <c r="L177" s="255"/>
      <c r="M177" s="255"/>
      <c r="N177" s="255"/>
      <c r="O177" s="255"/>
      <c r="P177" s="255"/>
      <c r="Q177" s="255"/>
      <c r="R177" s="255"/>
      <c r="S177" s="255"/>
      <c r="T177" s="255"/>
      <c r="U177" s="255"/>
      <c r="V177" s="255"/>
      <c r="W177" s="255"/>
      <c r="X177" s="256"/>
      <c r="Y177" s="396"/>
      <c r="Z177" s="396"/>
      <c r="AA177" s="396"/>
      <c r="AB177" s="388"/>
      <c r="AC177" s="388"/>
      <c r="AD177" s="388"/>
      <c r="AE177" s="388"/>
      <c r="AF177" s="406"/>
      <c r="AG177" s="406"/>
      <c r="AH177" s="405"/>
      <c r="AI177" s="406"/>
      <c r="AJ177" s="406"/>
    </row>
    <row r="178" spans="1:36" ht="12.75">
      <c r="A178" s="254"/>
      <c r="B178" s="255"/>
      <c r="C178" s="255"/>
      <c r="D178" s="255"/>
      <c r="E178" s="255"/>
      <c r="F178" s="255"/>
      <c r="G178" s="255"/>
      <c r="H178" s="255"/>
      <c r="I178" s="255"/>
      <c r="J178" s="255"/>
      <c r="K178" s="255"/>
      <c r="L178" s="255"/>
      <c r="M178" s="255"/>
      <c r="N178" s="255"/>
      <c r="O178" s="255"/>
      <c r="P178" s="255"/>
      <c r="Q178" s="255"/>
      <c r="R178" s="255"/>
      <c r="S178" s="255"/>
      <c r="T178" s="255"/>
      <c r="U178" s="255"/>
      <c r="V178" s="255"/>
      <c r="W178" s="255"/>
      <c r="X178" s="256"/>
      <c r="Y178" s="396"/>
      <c r="Z178" s="396"/>
      <c r="AA178" s="396"/>
      <c r="AB178" s="388"/>
      <c r="AC178" s="388"/>
      <c r="AD178" s="388"/>
      <c r="AE178" s="388"/>
      <c r="AF178" s="406"/>
      <c r="AG178" s="406"/>
      <c r="AH178" s="405"/>
      <c r="AI178" s="406"/>
      <c r="AJ178" s="406"/>
    </row>
    <row r="179" spans="1:36" ht="12.75">
      <c r="A179" s="46"/>
      <c r="B179" s="45"/>
      <c r="C179" s="7"/>
      <c r="D179" s="7"/>
      <c r="E179" s="7"/>
      <c r="F179" s="7"/>
      <c r="G179" s="7"/>
      <c r="H179" s="7"/>
      <c r="I179" s="7"/>
      <c r="J179" s="10"/>
      <c r="K179" s="11"/>
      <c r="L179" s="31"/>
      <c r="M179" s="31"/>
      <c r="N179" s="31"/>
      <c r="O179" s="31"/>
      <c r="P179" s="31"/>
      <c r="Q179" s="32"/>
      <c r="R179" s="34"/>
      <c r="S179" s="34"/>
      <c r="T179" s="7"/>
      <c r="U179" s="3"/>
      <c r="V179" s="3"/>
      <c r="W179" s="3"/>
      <c r="X179" s="303"/>
      <c r="Y179" s="3"/>
      <c r="Z179" s="3"/>
      <c r="AA179" s="3"/>
      <c r="AB179" s="388"/>
      <c r="AC179" s="388"/>
      <c r="AD179" s="388"/>
      <c r="AE179" s="388"/>
      <c r="AF179" s="406"/>
      <c r="AG179" s="406"/>
      <c r="AH179" s="405"/>
      <c r="AI179" s="406"/>
      <c r="AJ179" s="406"/>
    </row>
    <row r="180" spans="1:36" ht="12.75">
      <c r="A180" s="46"/>
      <c r="B180" s="45"/>
      <c r="C180" s="7"/>
      <c r="D180" s="7"/>
      <c r="E180" s="7"/>
      <c r="F180" s="7"/>
      <c r="G180" s="297" t="s">
        <v>464</v>
      </c>
      <c r="H180" s="7"/>
      <c r="I180" s="7"/>
      <c r="J180" s="10"/>
      <c r="K180" s="11"/>
      <c r="L180" s="31"/>
      <c r="M180" s="31"/>
      <c r="N180" s="31"/>
      <c r="O180" s="31"/>
      <c r="P180" s="31"/>
      <c r="Q180" s="32"/>
      <c r="R180" s="34"/>
      <c r="S180" s="34"/>
      <c r="T180" s="7"/>
      <c r="U180" s="3"/>
      <c r="V180" s="3"/>
      <c r="W180" s="3"/>
      <c r="X180" s="303"/>
      <c r="Y180" s="3"/>
      <c r="Z180" s="3"/>
      <c r="AA180" s="3"/>
      <c r="AB180" s="388"/>
      <c r="AC180" s="388"/>
      <c r="AD180" s="388"/>
      <c r="AE180" s="388"/>
      <c r="AF180" s="406"/>
      <c r="AG180" s="406"/>
      <c r="AH180" s="405"/>
      <c r="AI180" s="406"/>
      <c r="AJ180" s="406"/>
    </row>
    <row r="181" spans="1:36" ht="12.75">
      <c r="A181" s="547" t="s">
        <v>459</v>
      </c>
      <c r="B181" s="548"/>
      <c r="C181" s="548"/>
      <c r="D181" s="548"/>
      <c r="E181" s="548"/>
      <c r="F181" s="548"/>
      <c r="G181" s="548"/>
      <c r="H181" s="548"/>
      <c r="I181" s="548"/>
      <c r="J181" s="548"/>
      <c r="K181" s="548"/>
      <c r="L181" s="548"/>
      <c r="M181" s="548"/>
      <c r="N181" s="548"/>
      <c r="O181" s="548"/>
      <c r="P181" s="548"/>
      <c r="Q181" s="548"/>
      <c r="R181" s="548"/>
      <c r="S181" s="548"/>
      <c r="T181" s="548"/>
      <c r="U181" s="548"/>
      <c r="V181" s="548"/>
      <c r="W181" s="548"/>
      <c r="X181" s="549"/>
      <c r="Y181" s="394"/>
      <c r="Z181" s="394"/>
      <c r="AA181" s="394"/>
      <c r="AB181" s="388"/>
      <c r="AC181" s="388"/>
      <c r="AD181" s="388"/>
      <c r="AE181" s="388"/>
      <c r="AF181" s="406"/>
      <c r="AG181" s="406"/>
      <c r="AH181" s="405"/>
      <c r="AI181" s="406"/>
      <c r="AJ181" s="406"/>
    </row>
    <row r="182" spans="1:36" ht="12.75">
      <c r="A182" s="547" t="s">
        <v>460</v>
      </c>
      <c r="B182" s="548"/>
      <c r="C182" s="548"/>
      <c r="D182" s="548"/>
      <c r="E182" s="548"/>
      <c r="F182" s="548"/>
      <c r="G182" s="548"/>
      <c r="H182" s="548"/>
      <c r="I182" s="548"/>
      <c r="J182" s="548"/>
      <c r="K182" s="548"/>
      <c r="L182" s="548"/>
      <c r="M182" s="548"/>
      <c r="N182" s="548"/>
      <c r="O182" s="548"/>
      <c r="P182" s="548"/>
      <c r="Q182" s="548"/>
      <c r="R182" s="548"/>
      <c r="S182" s="548"/>
      <c r="T182" s="548"/>
      <c r="U182" s="548"/>
      <c r="V182" s="548"/>
      <c r="W182" s="548"/>
      <c r="X182" s="549"/>
      <c r="Y182" s="394"/>
      <c r="Z182" s="394"/>
      <c r="AA182" s="394"/>
      <c r="AB182" s="388"/>
      <c r="AC182" s="388"/>
      <c r="AD182" s="388"/>
      <c r="AE182" s="388"/>
      <c r="AF182" s="406"/>
      <c r="AG182" s="406"/>
      <c r="AH182" s="405"/>
      <c r="AI182" s="406"/>
      <c r="AJ182" s="406"/>
    </row>
    <row r="183" spans="1:36" ht="12.75">
      <c r="A183" s="547" t="s">
        <v>458</v>
      </c>
      <c r="B183" s="548"/>
      <c r="C183" s="548"/>
      <c r="D183" s="548"/>
      <c r="E183" s="548"/>
      <c r="F183" s="548"/>
      <c r="G183" s="548"/>
      <c r="H183" s="548"/>
      <c r="I183" s="548"/>
      <c r="J183" s="548"/>
      <c r="K183" s="548"/>
      <c r="L183" s="548"/>
      <c r="M183" s="548"/>
      <c r="N183" s="548"/>
      <c r="O183" s="548"/>
      <c r="P183" s="548"/>
      <c r="Q183" s="548"/>
      <c r="R183" s="548"/>
      <c r="S183" s="548"/>
      <c r="T183" s="548"/>
      <c r="U183" s="548"/>
      <c r="V183" s="548"/>
      <c r="W183" s="548"/>
      <c r="X183" s="549"/>
      <c r="Y183" s="394"/>
      <c r="Z183" s="394"/>
      <c r="AA183" s="394"/>
      <c r="AB183" s="388"/>
      <c r="AC183" s="388"/>
      <c r="AD183" s="388"/>
      <c r="AE183" s="388"/>
      <c r="AF183" s="406"/>
      <c r="AG183" s="406"/>
      <c r="AH183" s="405"/>
      <c r="AI183" s="406"/>
      <c r="AJ183" s="406"/>
    </row>
    <row r="184" spans="1:36" ht="12.75">
      <c r="A184" s="519" t="s">
        <v>461</v>
      </c>
      <c r="B184" s="520"/>
      <c r="C184" s="520"/>
      <c r="D184" s="520"/>
      <c r="E184" s="520"/>
      <c r="F184" s="520"/>
      <c r="G184" s="520"/>
      <c r="H184" s="520"/>
      <c r="I184" s="520"/>
      <c r="J184" s="520"/>
      <c r="K184" s="520"/>
      <c r="L184" s="520"/>
      <c r="M184" s="520"/>
      <c r="N184" s="520"/>
      <c r="O184" s="520"/>
      <c r="P184" s="520"/>
      <c r="Q184" s="520"/>
      <c r="R184" s="520"/>
      <c r="S184" s="520"/>
      <c r="T184" s="520"/>
      <c r="U184" s="520"/>
      <c r="V184" s="520"/>
      <c r="W184" s="520"/>
      <c r="X184" s="521"/>
      <c r="Y184" s="399"/>
      <c r="Z184" s="399"/>
      <c r="AA184" s="399"/>
      <c r="AB184" s="388"/>
      <c r="AC184" s="388"/>
      <c r="AD184" s="388"/>
      <c r="AE184" s="388"/>
      <c r="AF184" s="406"/>
      <c r="AG184" s="406"/>
      <c r="AH184" s="405"/>
      <c r="AI184" s="406"/>
      <c r="AJ184" s="406"/>
    </row>
    <row r="185" spans="1:36" ht="12.75">
      <c r="A185" s="519" t="s">
        <v>462</v>
      </c>
      <c r="B185" s="520"/>
      <c r="C185" s="520"/>
      <c r="D185" s="520"/>
      <c r="E185" s="520"/>
      <c r="F185" s="520"/>
      <c r="G185" s="520"/>
      <c r="H185" s="520"/>
      <c r="I185" s="520"/>
      <c r="J185" s="520"/>
      <c r="K185" s="520"/>
      <c r="L185" s="520"/>
      <c r="M185" s="520"/>
      <c r="N185" s="520"/>
      <c r="O185" s="520"/>
      <c r="P185" s="520"/>
      <c r="Q185" s="520"/>
      <c r="R185" s="520"/>
      <c r="S185" s="520"/>
      <c r="T185" s="520"/>
      <c r="U185" s="520"/>
      <c r="V185" s="520"/>
      <c r="W185" s="520"/>
      <c r="X185" s="521"/>
      <c r="Y185" s="399"/>
      <c r="Z185" s="399"/>
      <c r="AA185" s="399"/>
      <c r="AB185" s="388"/>
      <c r="AC185" s="388"/>
      <c r="AD185" s="388"/>
      <c r="AE185" s="388"/>
      <c r="AF185" s="406"/>
      <c r="AG185" s="406"/>
      <c r="AH185" s="405"/>
      <c r="AI185" s="406"/>
      <c r="AJ185" s="406"/>
    </row>
    <row r="186" spans="1:36" ht="12.75">
      <c r="A186" s="519" t="s">
        <v>463</v>
      </c>
      <c r="B186" s="520"/>
      <c r="C186" s="520"/>
      <c r="D186" s="520"/>
      <c r="E186" s="520"/>
      <c r="F186" s="520"/>
      <c r="G186" s="520"/>
      <c r="H186" s="520"/>
      <c r="I186" s="520"/>
      <c r="J186" s="520"/>
      <c r="K186" s="520"/>
      <c r="L186" s="520"/>
      <c r="M186" s="520"/>
      <c r="N186" s="520"/>
      <c r="O186" s="520"/>
      <c r="P186" s="520"/>
      <c r="Q186" s="520"/>
      <c r="R186" s="520"/>
      <c r="S186" s="520"/>
      <c r="T186" s="520"/>
      <c r="U186" s="520"/>
      <c r="V186" s="520"/>
      <c r="W186" s="520"/>
      <c r="X186" s="521"/>
      <c r="Y186" s="399"/>
      <c r="Z186" s="399"/>
      <c r="AA186" s="399"/>
      <c r="AB186" s="388"/>
      <c r="AC186" s="388"/>
      <c r="AD186" s="388"/>
      <c r="AE186" s="388"/>
      <c r="AF186" s="406"/>
      <c r="AG186" s="406"/>
      <c r="AH186" s="405"/>
      <c r="AI186" s="406"/>
      <c r="AJ186" s="406"/>
    </row>
    <row r="187" spans="1:36" ht="13.5" thickBot="1">
      <c r="A187" s="44"/>
      <c r="B187" s="67"/>
      <c r="C187" s="18"/>
      <c r="D187" s="18"/>
      <c r="E187" s="18"/>
      <c r="F187" s="18"/>
      <c r="G187" s="18"/>
      <c r="H187" s="18"/>
      <c r="I187" s="18"/>
      <c r="J187" s="19"/>
      <c r="K187" s="20"/>
      <c r="L187" s="25"/>
      <c r="M187" s="25"/>
      <c r="N187" s="25"/>
      <c r="O187" s="25"/>
      <c r="P187" s="25"/>
      <c r="Q187" s="26"/>
      <c r="R187" s="28"/>
      <c r="S187" s="28"/>
      <c r="T187" s="18"/>
      <c r="U187" s="21"/>
      <c r="V187" s="21"/>
      <c r="W187" s="21"/>
      <c r="X187" s="304"/>
      <c r="Y187" s="3"/>
      <c r="Z187" s="3"/>
      <c r="AA187" s="3"/>
      <c r="AB187" s="388"/>
      <c r="AC187" s="388"/>
      <c r="AD187" s="388"/>
      <c r="AE187" s="388"/>
      <c r="AF187" s="406"/>
      <c r="AG187" s="406"/>
      <c r="AH187" s="405"/>
      <c r="AI187" s="406"/>
      <c r="AJ187" s="406"/>
    </row>
    <row r="188" spans="1:36" ht="13.5" thickBot="1">
      <c r="A188" s="546" t="s">
        <v>90</v>
      </c>
      <c r="B188" s="546"/>
      <c r="C188" s="546"/>
      <c r="D188" s="546"/>
      <c r="E188" s="546"/>
      <c r="F188" s="546"/>
      <c r="G188" s="546"/>
      <c r="H188" s="546"/>
      <c r="I188" s="546"/>
      <c r="J188" s="546"/>
      <c r="K188" s="546"/>
      <c r="L188" s="546"/>
      <c r="M188" s="546"/>
      <c r="N188" s="546"/>
      <c r="O188" s="546"/>
      <c r="P188" s="546"/>
      <c r="Q188" s="546"/>
      <c r="R188" s="546"/>
      <c r="S188" s="546"/>
      <c r="T188" s="546"/>
      <c r="U188" s="546"/>
      <c r="V188" s="546"/>
      <c r="W188" s="546"/>
      <c r="X188" s="546"/>
      <c r="Y188" s="450"/>
      <c r="Z188" s="450"/>
      <c r="AA188" s="450"/>
      <c r="AB188" s="7"/>
      <c r="AC188" s="388"/>
      <c r="AD188" s="388"/>
      <c r="AE188" s="388"/>
      <c r="AF188" s="406"/>
      <c r="AG188" s="406"/>
      <c r="AH188" s="405"/>
      <c r="AI188" s="406"/>
      <c r="AJ188" s="406"/>
    </row>
    <row r="189" spans="1:36" ht="12.75">
      <c r="A189" s="269"/>
      <c r="B189" s="270"/>
      <c r="C189" s="305"/>
      <c r="D189" s="305"/>
      <c r="E189" s="305"/>
      <c r="F189" s="305"/>
      <c r="G189" s="544" t="s">
        <v>0</v>
      </c>
      <c r="H189" s="545"/>
      <c r="I189" s="306" t="s">
        <v>43</v>
      </c>
      <c r="J189" s="307" t="s">
        <v>44</v>
      </c>
      <c r="K189" s="308"/>
      <c r="L189" s="309"/>
      <c r="M189" s="309"/>
      <c r="N189" s="309"/>
      <c r="O189" s="309"/>
      <c r="P189" s="309"/>
      <c r="Q189" s="310"/>
      <c r="R189" s="311"/>
      <c r="S189" s="311"/>
      <c r="T189" s="305"/>
      <c r="U189" s="305"/>
      <c r="V189" s="305"/>
      <c r="W189" s="305"/>
      <c r="X189" s="312"/>
      <c r="Y189" s="297"/>
      <c r="Z189" s="297"/>
      <c r="AA189" s="297"/>
      <c r="AB189" s="388"/>
      <c r="AC189" s="388"/>
      <c r="AD189" s="388"/>
      <c r="AE189" s="388"/>
      <c r="AF189" s="406"/>
      <c r="AG189" s="406"/>
      <c r="AH189" s="405"/>
      <c r="AI189" s="406"/>
      <c r="AJ189" s="406"/>
    </row>
    <row r="190" spans="1:36" ht="12.75" customHeight="1">
      <c r="A190" s="638" t="s">
        <v>79</v>
      </c>
      <c r="B190" s="639"/>
      <c r="C190" s="639"/>
      <c r="D190" s="639"/>
      <c r="E190" s="639"/>
      <c r="F190" s="640"/>
      <c r="G190" s="313" t="s">
        <v>8</v>
      </c>
      <c r="H190" s="314"/>
      <c r="I190" s="315" t="s">
        <v>51</v>
      </c>
      <c r="J190" s="316">
        <v>0.03</v>
      </c>
      <c r="K190" s="2"/>
      <c r="L190" s="2"/>
      <c r="M190" s="2"/>
      <c r="N190" s="2"/>
      <c r="O190" s="2"/>
      <c r="P190" s="2"/>
      <c r="Q190" s="2"/>
      <c r="R190" s="2"/>
      <c r="S190" s="2"/>
      <c r="T190" s="637" t="s">
        <v>85</v>
      </c>
      <c r="U190" s="637"/>
      <c r="V190" s="637"/>
      <c r="W190" s="637"/>
      <c r="X190" s="285"/>
      <c r="Y190" s="2"/>
      <c r="Z190" s="2"/>
      <c r="AA190" s="2"/>
      <c r="AB190" s="388"/>
      <c r="AC190" s="388"/>
      <c r="AD190" s="388"/>
      <c r="AE190" s="388"/>
      <c r="AF190" s="406"/>
      <c r="AG190" s="406"/>
      <c r="AH190" s="405"/>
      <c r="AI190" s="406"/>
      <c r="AJ190" s="406"/>
    </row>
    <row r="191" spans="1:36" ht="12.75">
      <c r="A191" s="638"/>
      <c r="B191" s="639"/>
      <c r="C191" s="639"/>
      <c r="D191" s="639"/>
      <c r="E191" s="639"/>
      <c r="F191" s="640"/>
      <c r="G191" s="317" t="s">
        <v>9</v>
      </c>
      <c r="H191" s="318"/>
      <c r="I191" s="319" t="s">
        <v>52</v>
      </c>
      <c r="J191" s="320">
        <v>0.008</v>
      </c>
      <c r="K191" s="299"/>
      <c r="L191" s="300"/>
      <c r="M191" s="300"/>
      <c r="N191" s="300"/>
      <c r="O191" s="300"/>
      <c r="P191" s="300"/>
      <c r="Q191" s="301"/>
      <c r="R191" s="33"/>
      <c r="S191" s="33"/>
      <c r="T191" s="321"/>
      <c r="U191" s="321"/>
      <c r="V191" s="321"/>
      <c r="W191" s="321"/>
      <c r="X191" s="302"/>
      <c r="Y191" s="297"/>
      <c r="Z191" s="297"/>
      <c r="AA191" s="297"/>
      <c r="AB191" s="388"/>
      <c r="AC191" s="388"/>
      <c r="AD191" s="388"/>
      <c r="AE191" s="388"/>
      <c r="AF191" s="406"/>
      <c r="AG191" s="406"/>
      <c r="AH191" s="405"/>
      <c r="AI191" s="406"/>
      <c r="AJ191" s="406"/>
    </row>
    <row r="192" spans="1:36" ht="14.25" customHeight="1">
      <c r="A192" s="49"/>
      <c r="B192" s="68"/>
      <c r="C192" s="50"/>
      <c r="D192" s="50"/>
      <c r="E192" s="50"/>
      <c r="F192" s="50"/>
      <c r="G192" s="317" t="s">
        <v>10</v>
      </c>
      <c r="H192" s="318"/>
      <c r="I192" s="319" t="s">
        <v>53</v>
      </c>
      <c r="J192" s="320">
        <v>0.0097</v>
      </c>
      <c r="K192" s="299"/>
      <c r="L192" s="300"/>
      <c r="M192" s="300"/>
      <c r="N192" s="300"/>
      <c r="O192" s="300"/>
      <c r="P192" s="300"/>
      <c r="Q192" s="301"/>
      <c r="R192" s="33"/>
      <c r="S192" s="33"/>
      <c r="T192" s="673" t="s">
        <v>392</v>
      </c>
      <c r="U192" s="673"/>
      <c r="V192" s="673"/>
      <c r="W192" s="673"/>
      <c r="X192" s="302"/>
      <c r="Y192" s="297"/>
      <c r="Z192" s="297"/>
      <c r="AA192" s="297"/>
      <c r="AB192" s="388"/>
      <c r="AC192" s="388"/>
      <c r="AD192" s="388"/>
      <c r="AE192" s="388"/>
      <c r="AF192" s="406"/>
      <c r="AG192" s="406"/>
      <c r="AH192" s="405"/>
      <c r="AI192" s="406"/>
      <c r="AJ192" s="406"/>
    </row>
    <row r="193" spans="1:36" ht="14.25" customHeight="1">
      <c r="A193" s="322"/>
      <c r="B193" s="323"/>
      <c r="C193" s="324"/>
      <c r="D193" s="324"/>
      <c r="E193" s="324"/>
      <c r="F193" s="297"/>
      <c r="G193" s="325"/>
      <c r="H193" s="326"/>
      <c r="I193" s="326"/>
      <c r="J193" s="327"/>
      <c r="K193" s="633" t="s">
        <v>84</v>
      </c>
      <c r="L193" s="297"/>
      <c r="M193" s="297"/>
      <c r="N193" s="297"/>
      <c r="O193" s="297"/>
      <c r="P193" s="297"/>
      <c r="Q193" s="297"/>
      <c r="R193" s="297"/>
      <c r="S193" s="297"/>
      <c r="T193" s="674"/>
      <c r="U193" s="674"/>
      <c r="V193" s="674"/>
      <c r="W193" s="674"/>
      <c r="X193" s="672">
        <v>-1</v>
      </c>
      <c r="Y193" s="460"/>
      <c r="Z193" s="460"/>
      <c r="AA193" s="460"/>
      <c r="AB193" s="388"/>
      <c r="AC193" s="388"/>
      <c r="AD193" s="388"/>
      <c r="AE193" s="388"/>
      <c r="AF193" s="406"/>
      <c r="AG193" s="406"/>
      <c r="AH193" s="405"/>
      <c r="AI193" s="406"/>
      <c r="AJ193" s="406"/>
    </row>
    <row r="194" spans="1:36" ht="14.25">
      <c r="A194" s="322"/>
      <c r="B194" s="323"/>
      <c r="C194" s="324"/>
      <c r="D194" s="324"/>
      <c r="E194" s="324"/>
      <c r="F194" s="297"/>
      <c r="G194" s="328" t="s">
        <v>11</v>
      </c>
      <c r="H194" s="329"/>
      <c r="I194" s="330" t="s">
        <v>54</v>
      </c>
      <c r="J194" s="331">
        <v>0.0059</v>
      </c>
      <c r="K194" s="633"/>
      <c r="L194" s="300"/>
      <c r="M194" s="300"/>
      <c r="N194" s="300"/>
      <c r="O194" s="300"/>
      <c r="P194" s="300"/>
      <c r="Q194" s="301"/>
      <c r="R194" s="33"/>
      <c r="S194" s="33"/>
      <c r="T194" s="629" t="s">
        <v>86</v>
      </c>
      <c r="U194" s="629"/>
      <c r="V194" s="629"/>
      <c r="W194" s="629"/>
      <c r="X194" s="672"/>
      <c r="Y194" s="460"/>
      <c r="Z194" s="460"/>
      <c r="AA194" s="460"/>
      <c r="AB194" s="388"/>
      <c r="AC194" s="388"/>
      <c r="AD194" s="388"/>
      <c r="AE194" s="388"/>
      <c r="AF194" s="406"/>
      <c r="AG194" s="406"/>
      <c r="AH194" s="405"/>
      <c r="AI194" s="406"/>
      <c r="AJ194" s="406"/>
    </row>
    <row r="195" spans="1:36" ht="14.25">
      <c r="A195" s="594"/>
      <c r="B195" s="595"/>
      <c r="C195" s="595"/>
      <c r="D195" s="595"/>
      <c r="E195" s="595"/>
      <c r="F195" s="596"/>
      <c r="G195" s="317"/>
      <c r="H195" s="2"/>
      <c r="I195" s="332"/>
      <c r="J195" s="320"/>
      <c r="K195" s="297"/>
      <c r="L195" s="297"/>
      <c r="M195" s="297"/>
      <c r="N195" s="297"/>
      <c r="O195" s="297"/>
      <c r="P195" s="297"/>
      <c r="Q195" s="297"/>
      <c r="R195" s="297"/>
      <c r="S195" s="297"/>
      <c r="T195" s="630"/>
      <c r="U195" s="630"/>
      <c r="V195" s="630"/>
      <c r="W195" s="630"/>
      <c r="X195" s="302"/>
      <c r="Y195" s="297"/>
      <c r="Z195" s="297"/>
      <c r="AA195" s="297"/>
      <c r="AB195" s="388"/>
      <c r="AC195" s="388"/>
      <c r="AD195" s="388"/>
      <c r="AE195" s="388"/>
      <c r="AF195" s="406"/>
      <c r="AG195" s="421">
        <f>1-0.21807</f>
        <v>0.78193</v>
      </c>
      <c r="AH195" s="405"/>
      <c r="AI195" s="406"/>
      <c r="AJ195" s="406"/>
    </row>
    <row r="196" spans="1:36" ht="14.25">
      <c r="A196" s="46"/>
      <c r="B196" s="45"/>
      <c r="C196" s="333" t="s">
        <v>45</v>
      </c>
      <c r="D196" s="324"/>
      <c r="E196" s="324"/>
      <c r="F196" s="2"/>
      <c r="G196" s="328" t="s">
        <v>12</v>
      </c>
      <c r="H196" s="329"/>
      <c r="I196" s="330" t="s">
        <v>55</v>
      </c>
      <c r="J196" s="331">
        <v>0.0616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334"/>
      <c r="V196" s="2"/>
      <c r="W196" s="2"/>
      <c r="X196" s="285"/>
      <c r="Y196" s="2"/>
      <c r="Z196" s="2"/>
      <c r="AA196" s="2"/>
      <c r="AB196" s="388"/>
      <c r="AC196" s="388"/>
      <c r="AD196" s="388"/>
      <c r="AE196" s="388"/>
      <c r="AF196" s="406"/>
      <c r="AG196" s="406"/>
      <c r="AH196" s="405"/>
      <c r="AI196" s="406"/>
      <c r="AJ196" s="406"/>
    </row>
    <row r="197" spans="1:36" ht="14.25" customHeight="1">
      <c r="A197" s="46"/>
      <c r="B197" s="45"/>
      <c r="C197" s="335" t="s">
        <v>46</v>
      </c>
      <c r="D197" s="324"/>
      <c r="E197" s="324"/>
      <c r="F197" s="297"/>
      <c r="G197" s="336"/>
      <c r="H197" s="7"/>
      <c r="I197" s="7"/>
      <c r="J197" s="337"/>
      <c r="K197" s="299"/>
      <c r="L197" s="300"/>
      <c r="M197" s="300"/>
      <c r="N197" s="300"/>
      <c r="O197" s="300"/>
      <c r="P197" s="300"/>
      <c r="Q197" s="301"/>
      <c r="R197" s="33"/>
      <c r="S197" s="33"/>
      <c r="T197" s="673" t="s">
        <v>393</v>
      </c>
      <c r="U197" s="673"/>
      <c r="V197" s="673"/>
      <c r="W197" s="673"/>
      <c r="X197" s="302"/>
      <c r="Y197" s="297"/>
      <c r="Z197" s="297"/>
      <c r="AA197" s="297"/>
      <c r="AB197" s="388"/>
      <c r="AC197" s="388"/>
      <c r="AD197" s="388"/>
      <c r="AE197" s="388"/>
      <c r="AF197" s="406"/>
      <c r="AG197" s="406"/>
      <c r="AH197" s="405"/>
      <c r="AI197" s="406"/>
      <c r="AJ197" s="406"/>
    </row>
    <row r="198" spans="1:36" ht="14.25">
      <c r="A198" s="46"/>
      <c r="B198" s="45"/>
      <c r="C198" s="335" t="s">
        <v>47</v>
      </c>
      <c r="D198" s="324"/>
      <c r="E198" s="324"/>
      <c r="F198" s="2"/>
      <c r="G198" s="313" t="s">
        <v>80</v>
      </c>
      <c r="H198" s="314"/>
      <c r="I198" s="315" t="s">
        <v>77</v>
      </c>
      <c r="J198" s="316">
        <v>0.0065</v>
      </c>
      <c r="K198" s="633" t="s">
        <v>84</v>
      </c>
      <c r="L198" s="297"/>
      <c r="M198" s="297"/>
      <c r="N198" s="297"/>
      <c r="O198" s="297"/>
      <c r="P198" s="297"/>
      <c r="Q198" s="297"/>
      <c r="R198" s="297"/>
      <c r="S198" s="297"/>
      <c r="T198" s="674"/>
      <c r="U198" s="674"/>
      <c r="V198" s="674"/>
      <c r="W198" s="674"/>
      <c r="X198" s="672">
        <v>-1</v>
      </c>
      <c r="Y198" s="460"/>
      <c r="Z198" s="460"/>
      <c r="AA198" s="460"/>
      <c r="AB198" s="388"/>
      <c r="AC198" s="388"/>
      <c r="AD198" s="388"/>
      <c r="AE198" s="388"/>
      <c r="AF198" s="406"/>
      <c r="AG198" s="422">
        <f>1+J202</f>
        <v>1.2180735177876976</v>
      </c>
      <c r="AH198" s="405"/>
      <c r="AI198" s="406"/>
      <c r="AJ198" s="406"/>
    </row>
    <row r="199" spans="1:36" ht="14.25" customHeight="1">
      <c r="A199" s="46"/>
      <c r="B199" s="45"/>
      <c r="C199" s="335" t="s">
        <v>48</v>
      </c>
      <c r="D199" s="324"/>
      <c r="E199" s="324"/>
      <c r="F199" s="297"/>
      <c r="G199" s="317" t="s">
        <v>81</v>
      </c>
      <c r="H199" s="318"/>
      <c r="I199" s="319" t="s">
        <v>77</v>
      </c>
      <c r="J199" s="320">
        <v>0.03</v>
      </c>
      <c r="K199" s="633"/>
      <c r="L199" s="300"/>
      <c r="M199" s="300"/>
      <c r="N199" s="300"/>
      <c r="O199" s="300"/>
      <c r="P199" s="300"/>
      <c r="Q199" s="301"/>
      <c r="R199" s="33"/>
      <c r="S199" s="33"/>
      <c r="T199" s="629" t="s">
        <v>87</v>
      </c>
      <c r="U199" s="629"/>
      <c r="V199" s="629"/>
      <c r="W199" s="629"/>
      <c r="X199" s="672"/>
      <c r="Y199" s="460"/>
      <c r="Z199" s="460"/>
      <c r="AA199" s="460"/>
      <c r="AB199" s="388"/>
      <c r="AC199" s="388"/>
      <c r="AD199" s="388"/>
      <c r="AE199" s="388"/>
      <c r="AF199" s="406"/>
      <c r="AG199" s="406"/>
      <c r="AH199" s="405"/>
      <c r="AI199" s="406"/>
      <c r="AJ199" s="406"/>
    </row>
    <row r="200" spans="1:36" ht="12.75" customHeight="1">
      <c r="A200" s="46"/>
      <c r="B200" s="45"/>
      <c r="C200" s="335" t="s">
        <v>49</v>
      </c>
      <c r="D200" s="297"/>
      <c r="E200" s="297"/>
      <c r="F200" s="2"/>
      <c r="G200" s="317" t="s">
        <v>82</v>
      </c>
      <c r="H200" s="318"/>
      <c r="I200" s="319" t="s">
        <v>77</v>
      </c>
      <c r="J200" s="320">
        <v>0.02</v>
      </c>
      <c r="K200" s="297"/>
      <c r="L200" s="297"/>
      <c r="M200" s="297"/>
      <c r="N200" s="297"/>
      <c r="O200" s="297"/>
      <c r="P200" s="297"/>
      <c r="Q200" s="297"/>
      <c r="R200" s="297"/>
      <c r="S200" s="297"/>
      <c r="T200" s="630"/>
      <c r="U200" s="630"/>
      <c r="V200" s="630"/>
      <c r="W200" s="630"/>
      <c r="X200" s="302"/>
      <c r="Y200" s="297"/>
      <c r="Z200" s="297"/>
      <c r="AA200" s="297"/>
      <c r="AF200" s="405"/>
      <c r="AG200" s="406"/>
      <c r="AH200" s="405"/>
      <c r="AI200" s="406"/>
      <c r="AJ200" s="406"/>
    </row>
    <row r="201" spans="1:36" ht="12.75">
      <c r="A201" s="46"/>
      <c r="B201" s="45"/>
      <c r="C201" s="335" t="s">
        <v>50</v>
      </c>
      <c r="D201" s="297"/>
      <c r="E201" s="297"/>
      <c r="F201" s="297"/>
      <c r="G201" s="317" t="s">
        <v>83</v>
      </c>
      <c r="H201" s="318"/>
      <c r="I201" s="319" t="s">
        <v>77</v>
      </c>
      <c r="J201" s="338">
        <v>0.025</v>
      </c>
      <c r="K201" s="297"/>
      <c r="L201" s="297"/>
      <c r="M201" s="297"/>
      <c r="N201" s="297"/>
      <c r="O201" s="297"/>
      <c r="P201" s="297"/>
      <c r="Q201" s="297"/>
      <c r="R201" s="297"/>
      <c r="S201" s="297"/>
      <c r="T201" s="298"/>
      <c r="U201" s="298"/>
      <c r="V201" s="298"/>
      <c r="W201" s="298"/>
      <c r="X201" s="302"/>
      <c r="Y201" s="297"/>
      <c r="Z201" s="297"/>
      <c r="AA201" s="297"/>
      <c r="AF201" s="405"/>
      <c r="AG201" s="406"/>
      <c r="AH201" s="405"/>
      <c r="AI201" s="406"/>
      <c r="AJ201" s="406"/>
    </row>
    <row r="202" spans="1:36" ht="12.75">
      <c r="A202" s="46"/>
      <c r="B202" s="45"/>
      <c r="C202" s="335" t="s">
        <v>88</v>
      </c>
      <c r="D202" s="2"/>
      <c r="E202" s="2"/>
      <c r="F202" s="2"/>
      <c r="G202" s="675" t="s">
        <v>91</v>
      </c>
      <c r="H202" s="676"/>
      <c r="I202" s="677"/>
      <c r="J202" s="57">
        <f>(((1+J190+J191+J192)*(1+J194)*(1+J196))/(1-J198-J199-J200-J201))-1</f>
        <v>0.21807351778769757</v>
      </c>
      <c r="K202" s="681"/>
      <c r="L202" s="660"/>
      <c r="M202" s="660"/>
      <c r="N202" s="660"/>
      <c r="O202" s="660"/>
      <c r="P202" s="660"/>
      <c r="Q202" s="660"/>
      <c r="R202" s="660"/>
      <c r="S202" s="660"/>
      <c r="T202" s="660"/>
      <c r="U202" s="660"/>
      <c r="V202" s="660"/>
      <c r="W202" s="660"/>
      <c r="X202" s="285"/>
      <c r="Y202" s="2"/>
      <c r="Z202" s="2"/>
      <c r="AA202" s="2"/>
      <c r="AF202" s="405"/>
      <c r="AG202" s="406"/>
      <c r="AH202" s="405"/>
      <c r="AI202" s="406"/>
      <c r="AJ202" s="406"/>
    </row>
    <row r="203" spans="1:36" ht="13.5" thickBot="1">
      <c r="A203" s="339"/>
      <c r="B203" s="340"/>
      <c r="C203" s="17" t="s">
        <v>89</v>
      </c>
      <c r="D203" s="18"/>
      <c r="E203" s="18"/>
      <c r="F203" s="18"/>
      <c r="G203" s="678" t="s">
        <v>92</v>
      </c>
      <c r="H203" s="679"/>
      <c r="I203" s="680"/>
      <c r="J203" s="56">
        <f>(((1+J190+J191+J192)*(1+J194)*(1+J196))/(1-J198-J199-J200))-1</f>
        <v>0.18579811986009576</v>
      </c>
      <c r="K203" s="631"/>
      <c r="L203" s="632"/>
      <c r="M203" s="632"/>
      <c r="N203" s="632"/>
      <c r="O203" s="632"/>
      <c r="P203" s="632"/>
      <c r="Q203" s="632"/>
      <c r="R203" s="632"/>
      <c r="S203" s="632"/>
      <c r="T203" s="632"/>
      <c r="U203" s="632"/>
      <c r="V203" s="632"/>
      <c r="W203" s="632"/>
      <c r="X203" s="39"/>
      <c r="Y203" s="7"/>
      <c r="Z203" s="7"/>
      <c r="AA203" s="7"/>
      <c r="AF203" s="405"/>
      <c r="AG203" s="406"/>
      <c r="AH203" s="405"/>
      <c r="AI203" s="406"/>
      <c r="AJ203" s="406"/>
    </row>
    <row r="204" spans="1:36" ht="13.5" customHeight="1" thickBot="1">
      <c r="A204" s="578" t="s">
        <v>300</v>
      </c>
      <c r="B204" s="546"/>
      <c r="C204" s="546"/>
      <c r="D204" s="546"/>
      <c r="E204" s="546"/>
      <c r="F204" s="546"/>
      <c r="G204" s="546"/>
      <c r="H204" s="546"/>
      <c r="I204" s="546"/>
      <c r="J204" s="546"/>
      <c r="K204" s="546"/>
      <c r="L204" s="546"/>
      <c r="M204" s="546"/>
      <c r="N204" s="546"/>
      <c r="O204" s="546"/>
      <c r="P204" s="546"/>
      <c r="Q204" s="546"/>
      <c r="R204" s="546"/>
      <c r="S204" s="546"/>
      <c r="T204" s="546"/>
      <c r="U204" s="546"/>
      <c r="V204" s="546"/>
      <c r="W204" s="546"/>
      <c r="X204" s="579"/>
      <c r="Y204" s="450"/>
      <c r="Z204" s="450"/>
      <c r="AA204" s="450"/>
      <c r="AB204" s="54"/>
      <c r="AC204" s="54"/>
      <c r="AD204" s="54"/>
      <c r="AE204" s="54"/>
      <c r="AF204" s="80"/>
      <c r="AG204" s="80"/>
      <c r="AH204" s="80"/>
      <c r="AI204" s="80"/>
      <c r="AJ204" s="406"/>
    </row>
    <row r="205" spans="1:36" ht="10.5" customHeight="1">
      <c r="A205" s="597" t="s">
        <v>60</v>
      </c>
      <c r="B205" s="562" t="s">
        <v>0</v>
      </c>
      <c r="C205" s="563"/>
      <c r="D205" s="563"/>
      <c r="E205" s="563"/>
      <c r="F205" s="563"/>
      <c r="G205" s="564"/>
      <c r="H205" s="597" t="s">
        <v>274</v>
      </c>
      <c r="I205" s="560" t="s">
        <v>68</v>
      </c>
      <c r="J205" s="561"/>
      <c r="K205" s="562" t="s">
        <v>69</v>
      </c>
      <c r="L205" s="563"/>
      <c r="M205" s="563"/>
      <c r="N205" s="563"/>
      <c r="O205" s="563"/>
      <c r="P205" s="563"/>
      <c r="Q205" s="563"/>
      <c r="R205" s="563"/>
      <c r="S205" s="563"/>
      <c r="T205" s="564"/>
      <c r="U205" s="560" t="s">
        <v>70</v>
      </c>
      <c r="V205" s="561"/>
      <c r="W205" s="560" t="s">
        <v>71</v>
      </c>
      <c r="X205" s="561"/>
      <c r="Y205" s="52"/>
      <c r="Z205" s="52"/>
      <c r="AA205" s="52"/>
      <c r="AB205" s="51"/>
      <c r="AC205" s="51"/>
      <c r="AD205" s="51"/>
      <c r="AE205" s="51"/>
      <c r="AF205" s="559"/>
      <c r="AG205" s="559"/>
      <c r="AH205" s="559"/>
      <c r="AI205" s="559"/>
      <c r="AJ205" s="406"/>
    </row>
    <row r="206" spans="1:36" ht="10.5" customHeight="1" thickBot="1">
      <c r="A206" s="598"/>
      <c r="B206" s="589"/>
      <c r="C206" s="590"/>
      <c r="D206" s="590"/>
      <c r="E206" s="590"/>
      <c r="F206" s="590"/>
      <c r="G206" s="591"/>
      <c r="H206" s="598"/>
      <c r="I206" s="85" t="s">
        <v>74</v>
      </c>
      <c r="J206" s="86" t="s">
        <v>75</v>
      </c>
      <c r="K206" s="85" t="s">
        <v>74</v>
      </c>
      <c r="L206" s="48"/>
      <c r="M206" s="48"/>
      <c r="N206" s="48"/>
      <c r="O206" s="48"/>
      <c r="P206" s="48"/>
      <c r="Q206" s="48"/>
      <c r="R206" s="48"/>
      <c r="S206" s="48"/>
      <c r="T206" s="86" t="s">
        <v>75</v>
      </c>
      <c r="U206" s="85" t="s">
        <v>74</v>
      </c>
      <c r="V206" s="86" t="s">
        <v>75</v>
      </c>
      <c r="W206" s="85" t="s">
        <v>74</v>
      </c>
      <c r="X206" s="133" t="s">
        <v>75</v>
      </c>
      <c r="Y206" s="52"/>
      <c r="Z206" s="52"/>
      <c r="AA206" s="52"/>
      <c r="AB206" s="52"/>
      <c r="AC206" s="52"/>
      <c r="AD206" s="52"/>
      <c r="AE206" s="52"/>
      <c r="AF206" s="52"/>
      <c r="AG206" s="52"/>
      <c r="AH206" s="204"/>
      <c r="AI206" s="52"/>
      <c r="AJ206" s="406"/>
    </row>
    <row r="207" spans="1:36" ht="10.5" customHeight="1">
      <c r="A207" s="125" t="s">
        <v>277</v>
      </c>
      <c r="B207" s="599" t="str">
        <f>B26</f>
        <v>SERVIÇOS INICIAIS</v>
      </c>
      <c r="C207" s="600"/>
      <c r="D207" s="600"/>
      <c r="E207" s="600"/>
      <c r="F207" s="600"/>
      <c r="G207" s="601"/>
      <c r="H207" s="341">
        <f>X26</f>
        <v>2319.4970000000003</v>
      </c>
      <c r="I207" s="342">
        <v>1</v>
      </c>
      <c r="J207" s="343">
        <f>I207*H207</f>
        <v>2319.4970000000003</v>
      </c>
      <c r="K207" s="342"/>
      <c r="L207" s="344"/>
      <c r="M207" s="344"/>
      <c r="N207" s="344"/>
      <c r="O207" s="344"/>
      <c r="P207" s="344"/>
      <c r="Q207" s="344"/>
      <c r="R207" s="344"/>
      <c r="S207" s="344"/>
      <c r="T207" s="345">
        <f>K207*H207</f>
        <v>0</v>
      </c>
      <c r="U207" s="342"/>
      <c r="V207" s="345">
        <f>U207*H207</f>
        <v>0</v>
      </c>
      <c r="W207" s="346"/>
      <c r="X207" s="347">
        <f>W207*H207</f>
        <v>0</v>
      </c>
      <c r="Y207" s="461"/>
      <c r="Z207" s="461"/>
      <c r="AA207" s="461"/>
      <c r="AB207" s="423"/>
      <c r="AC207" s="423"/>
      <c r="AD207" s="423"/>
      <c r="AE207" s="423"/>
      <c r="AF207" s="424"/>
      <c r="AG207" s="424"/>
      <c r="AH207" s="425"/>
      <c r="AI207" s="424"/>
      <c r="AJ207" s="406"/>
    </row>
    <row r="208" spans="1:36" ht="12.75">
      <c r="A208" s="126" t="s">
        <v>278</v>
      </c>
      <c r="B208" s="620" t="str">
        <f>B29</f>
        <v>PAVIMENTAÇÃO</v>
      </c>
      <c r="C208" s="621"/>
      <c r="D208" s="621"/>
      <c r="E208" s="621"/>
      <c r="F208" s="621"/>
      <c r="G208" s="622"/>
      <c r="H208" s="348">
        <f>X29</f>
        <v>59970.455367156195</v>
      </c>
      <c r="I208" s="349"/>
      <c r="J208" s="350">
        <f aca="true" t="shared" si="40" ref="J208:J217">I208*H208</f>
        <v>0</v>
      </c>
      <c r="K208" s="349">
        <v>0.75</v>
      </c>
      <c r="L208" s="351"/>
      <c r="M208" s="351"/>
      <c r="N208" s="351"/>
      <c r="O208" s="351"/>
      <c r="P208" s="351"/>
      <c r="Q208" s="351"/>
      <c r="R208" s="351"/>
      <c r="S208" s="351"/>
      <c r="T208" s="352">
        <f aca="true" t="shared" si="41" ref="T208:T217">K208*H208</f>
        <v>44977.84152536715</v>
      </c>
      <c r="U208" s="349">
        <v>0.25</v>
      </c>
      <c r="V208" s="352">
        <f aca="true" t="shared" si="42" ref="V208:V217">U208*H208</f>
        <v>14992.613841789049</v>
      </c>
      <c r="W208" s="353"/>
      <c r="X208" s="354">
        <f aca="true" t="shared" si="43" ref="X208:X217">W208*H208</f>
        <v>0</v>
      </c>
      <c r="Y208" s="461"/>
      <c r="Z208" s="461"/>
      <c r="AA208" s="461"/>
      <c r="AB208" s="423"/>
      <c r="AC208" s="423"/>
      <c r="AD208" s="423"/>
      <c r="AE208" s="423"/>
      <c r="AF208" s="424"/>
      <c r="AG208" s="424"/>
      <c r="AH208" s="425"/>
      <c r="AI208" s="424"/>
      <c r="AJ208" s="406"/>
    </row>
    <row r="209" spans="1:36" ht="12.75">
      <c r="A209" s="126" t="s">
        <v>279</v>
      </c>
      <c r="B209" s="617" t="s">
        <v>115</v>
      </c>
      <c r="C209" s="618"/>
      <c r="D209" s="618"/>
      <c r="E209" s="618"/>
      <c r="F209" s="618"/>
      <c r="G209" s="619"/>
      <c r="H209" s="348">
        <f>X40</f>
        <v>16608.703289786223</v>
      </c>
      <c r="I209" s="349"/>
      <c r="J209" s="350">
        <f t="shared" si="40"/>
        <v>0</v>
      </c>
      <c r="K209" s="349">
        <v>0.75</v>
      </c>
      <c r="L209" s="351"/>
      <c r="M209" s="351"/>
      <c r="N209" s="351"/>
      <c r="O209" s="351"/>
      <c r="P209" s="351"/>
      <c r="Q209" s="351"/>
      <c r="R209" s="351"/>
      <c r="S209" s="351"/>
      <c r="T209" s="352">
        <f t="shared" si="41"/>
        <v>12456.527467339667</v>
      </c>
      <c r="U209" s="349">
        <v>0.25</v>
      </c>
      <c r="V209" s="352">
        <f t="shared" si="42"/>
        <v>4152.175822446556</v>
      </c>
      <c r="W209" s="353"/>
      <c r="X209" s="354">
        <f t="shared" si="43"/>
        <v>0</v>
      </c>
      <c r="Y209" s="461"/>
      <c r="Z209" s="461"/>
      <c r="AA209" s="461"/>
      <c r="AB209" s="423"/>
      <c r="AC209" s="423"/>
      <c r="AD209" s="423"/>
      <c r="AE209" s="423"/>
      <c r="AF209" s="424"/>
      <c r="AG209" s="424"/>
      <c r="AH209" s="425"/>
      <c r="AI209" s="424"/>
      <c r="AJ209" s="406"/>
    </row>
    <row r="210" spans="1:36" ht="10.5" customHeight="1">
      <c r="A210" s="126" t="s">
        <v>280</v>
      </c>
      <c r="B210" s="610" t="str">
        <f>B50</f>
        <v>MODALIDADES ESPORTIVAS</v>
      </c>
      <c r="C210" s="611"/>
      <c r="D210" s="611"/>
      <c r="E210" s="611"/>
      <c r="F210" s="611"/>
      <c r="G210" s="612"/>
      <c r="H210" s="355">
        <f>X50</f>
        <v>279464.66</v>
      </c>
      <c r="I210" s="356"/>
      <c r="J210" s="350">
        <f t="shared" si="40"/>
        <v>0</v>
      </c>
      <c r="K210" s="349"/>
      <c r="L210" s="351"/>
      <c r="M210" s="351"/>
      <c r="N210" s="351"/>
      <c r="O210" s="351"/>
      <c r="P210" s="351"/>
      <c r="Q210" s="351"/>
      <c r="R210" s="351"/>
      <c r="S210" s="351"/>
      <c r="T210" s="352">
        <f t="shared" si="41"/>
        <v>0</v>
      </c>
      <c r="U210" s="349">
        <v>0.5</v>
      </c>
      <c r="V210" s="352">
        <f t="shared" si="42"/>
        <v>139732.33</v>
      </c>
      <c r="W210" s="353">
        <v>0.5</v>
      </c>
      <c r="X210" s="354">
        <f t="shared" si="43"/>
        <v>139732.33</v>
      </c>
      <c r="Y210" s="461"/>
      <c r="Z210" s="461"/>
      <c r="AA210" s="461"/>
      <c r="AB210" s="423"/>
      <c r="AC210" s="426">
        <f>SUM(H207:H217)</f>
        <v>487004.0579072614</v>
      </c>
      <c r="AD210" s="423"/>
      <c r="AE210" s="423"/>
      <c r="AF210" s="424"/>
      <c r="AG210" s="424"/>
      <c r="AH210" s="425"/>
      <c r="AI210" s="424"/>
      <c r="AJ210" s="406"/>
    </row>
    <row r="211" spans="1:36" ht="12.75" customHeight="1">
      <c r="A211" s="126" t="s">
        <v>281</v>
      </c>
      <c r="B211" s="602" t="s">
        <v>390</v>
      </c>
      <c r="C211" s="603"/>
      <c r="D211" s="603"/>
      <c r="E211" s="603"/>
      <c r="F211" s="603"/>
      <c r="G211" s="604"/>
      <c r="H211" s="348">
        <f>X72</f>
        <v>12525.12</v>
      </c>
      <c r="I211" s="349"/>
      <c r="J211" s="350">
        <f t="shared" si="40"/>
        <v>0</v>
      </c>
      <c r="K211" s="349"/>
      <c r="L211" s="351"/>
      <c r="M211" s="351"/>
      <c r="N211" s="351"/>
      <c r="O211" s="351"/>
      <c r="P211" s="351"/>
      <c r="Q211" s="351"/>
      <c r="R211" s="351"/>
      <c r="S211" s="351"/>
      <c r="T211" s="352">
        <f t="shared" si="41"/>
        <v>0</v>
      </c>
      <c r="U211" s="349"/>
      <c r="V211" s="352">
        <f t="shared" si="42"/>
        <v>0</v>
      </c>
      <c r="W211" s="353">
        <v>1</v>
      </c>
      <c r="X211" s="354">
        <f t="shared" si="43"/>
        <v>12525.12</v>
      </c>
      <c r="Y211" s="461"/>
      <c r="Z211" s="461"/>
      <c r="AA211" s="461"/>
      <c r="AB211" s="423"/>
      <c r="AC211" s="423"/>
      <c r="AD211" s="423"/>
      <c r="AE211" s="423"/>
      <c r="AF211" s="424"/>
      <c r="AG211" s="424"/>
      <c r="AH211" s="425"/>
      <c r="AI211" s="424"/>
      <c r="AJ211" s="406"/>
    </row>
    <row r="212" spans="1:36" ht="12.75" customHeight="1">
      <c r="A212" s="126" t="s">
        <v>282</v>
      </c>
      <c r="B212" s="602" t="s">
        <v>315</v>
      </c>
      <c r="C212" s="603"/>
      <c r="D212" s="603"/>
      <c r="E212" s="603"/>
      <c r="F212" s="603"/>
      <c r="G212" s="604"/>
      <c r="H212" s="348">
        <f>X76</f>
        <v>3924.16</v>
      </c>
      <c r="I212" s="349"/>
      <c r="J212" s="350">
        <f t="shared" si="40"/>
        <v>0</v>
      </c>
      <c r="K212" s="349"/>
      <c r="L212" s="351"/>
      <c r="M212" s="351"/>
      <c r="N212" s="351"/>
      <c r="O212" s="351"/>
      <c r="P212" s="351"/>
      <c r="Q212" s="351"/>
      <c r="R212" s="351"/>
      <c r="S212" s="351"/>
      <c r="T212" s="352">
        <f t="shared" si="41"/>
        <v>0</v>
      </c>
      <c r="U212" s="349"/>
      <c r="V212" s="352">
        <f t="shared" si="42"/>
        <v>0</v>
      </c>
      <c r="W212" s="353">
        <v>1</v>
      </c>
      <c r="X212" s="354">
        <f t="shared" si="43"/>
        <v>3924.16</v>
      </c>
      <c r="Y212" s="461"/>
      <c r="Z212" s="461"/>
      <c r="AA212" s="461"/>
      <c r="AB212" s="423"/>
      <c r="AC212" s="423"/>
      <c r="AD212" s="423"/>
      <c r="AE212" s="423"/>
      <c r="AF212" s="424"/>
      <c r="AG212" s="424"/>
      <c r="AH212" s="425"/>
      <c r="AI212" s="424"/>
      <c r="AJ212" s="406"/>
    </row>
    <row r="213" spans="1:36" ht="10.5" customHeight="1">
      <c r="A213" s="126" t="s">
        <v>283</v>
      </c>
      <c r="B213" s="623" t="s">
        <v>130</v>
      </c>
      <c r="C213" s="624"/>
      <c r="D213" s="624"/>
      <c r="E213" s="624"/>
      <c r="F213" s="624"/>
      <c r="G213" s="625"/>
      <c r="H213" s="355">
        <f>X83</f>
        <v>54882.509999999995</v>
      </c>
      <c r="I213" s="349">
        <v>0.5</v>
      </c>
      <c r="J213" s="350">
        <f t="shared" si="40"/>
        <v>27441.254999999997</v>
      </c>
      <c r="K213" s="349">
        <v>0.5</v>
      </c>
      <c r="L213" s="351"/>
      <c r="M213" s="351"/>
      <c r="N213" s="351"/>
      <c r="O213" s="351"/>
      <c r="P213" s="351"/>
      <c r="Q213" s="351"/>
      <c r="R213" s="351"/>
      <c r="S213" s="351"/>
      <c r="T213" s="352">
        <f t="shared" si="41"/>
        <v>27441.254999999997</v>
      </c>
      <c r="U213" s="349"/>
      <c r="V213" s="352">
        <f t="shared" si="42"/>
        <v>0</v>
      </c>
      <c r="W213" s="353"/>
      <c r="X213" s="354">
        <f t="shared" si="43"/>
        <v>0</v>
      </c>
      <c r="Y213" s="461"/>
      <c r="Z213" s="461"/>
      <c r="AA213" s="461"/>
      <c r="AB213" s="423"/>
      <c r="AC213" s="423"/>
      <c r="AD213" s="423"/>
      <c r="AE213" s="423"/>
      <c r="AF213" s="424"/>
      <c r="AG213" s="424"/>
      <c r="AH213" s="425"/>
      <c r="AI213" s="424"/>
      <c r="AJ213" s="406"/>
    </row>
    <row r="214" spans="1:36" ht="10.5" customHeight="1">
      <c r="A214" s="126" t="s">
        <v>284</v>
      </c>
      <c r="B214" s="623" t="s">
        <v>184</v>
      </c>
      <c r="C214" s="624"/>
      <c r="D214" s="624"/>
      <c r="E214" s="624"/>
      <c r="F214" s="624"/>
      <c r="G214" s="625"/>
      <c r="H214" s="355">
        <f>X110</f>
        <v>12161.871</v>
      </c>
      <c r="I214" s="349"/>
      <c r="J214" s="350">
        <f t="shared" si="40"/>
        <v>0</v>
      </c>
      <c r="K214" s="349"/>
      <c r="L214" s="351"/>
      <c r="M214" s="351"/>
      <c r="N214" s="351"/>
      <c r="O214" s="351"/>
      <c r="P214" s="351"/>
      <c r="Q214" s="351"/>
      <c r="R214" s="351"/>
      <c r="S214" s="351"/>
      <c r="T214" s="352">
        <f t="shared" si="41"/>
        <v>0</v>
      </c>
      <c r="U214" s="349"/>
      <c r="V214" s="352">
        <f t="shared" si="42"/>
        <v>0</v>
      </c>
      <c r="W214" s="353">
        <v>1</v>
      </c>
      <c r="X214" s="354">
        <f t="shared" si="43"/>
        <v>12161.871</v>
      </c>
      <c r="Y214" s="461"/>
      <c r="Z214" s="461"/>
      <c r="AA214" s="461"/>
      <c r="AB214" s="423"/>
      <c r="AC214" s="423"/>
      <c r="AD214" s="423"/>
      <c r="AE214" s="423"/>
      <c r="AF214" s="424"/>
      <c r="AG214" s="424"/>
      <c r="AH214" s="425"/>
      <c r="AI214" s="424"/>
      <c r="AJ214" s="406"/>
    </row>
    <row r="215" spans="1:36" ht="10.5" customHeight="1">
      <c r="A215" s="126" t="s">
        <v>285</v>
      </c>
      <c r="B215" s="623" t="s">
        <v>391</v>
      </c>
      <c r="C215" s="624"/>
      <c r="D215" s="624"/>
      <c r="E215" s="624"/>
      <c r="F215" s="624"/>
      <c r="G215" s="625"/>
      <c r="H215" s="355">
        <f>X132</f>
        <v>36141.7675</v>
      </c>
      <c r="I215" s="349"/>
      <c r="J215" s="350">
        <f t="shared" si="40"/>
        <v>0</v>
      </c>
      <c r="K215" s="349">
        <v>0.34</v>
      </c>
      <c r="L215" s="351"/>
      <c r="M215" s="351"/>
      <c r="N215" s="351"/>
      <c r="O215" s="351"/>
      <c r="P215" s="351"/>
      <c r="Q215" s="351"/>
      <c r="R215" s="351"/>
      <c r="S215" s="351"/>
      <c r="T215" s="352">
        <f t="shared" si="41"/>
        <v>12288.200950000002</v>
      </c>
      <c r="U215" s="349">
        <v>0.33</v>
      </c>
      <c r="V215" s="352">
        <f t="shared" si="42"/>
        <v>11926.783275000002</v>
      </c>
      <c r="W215" s="353">
        <v>0.33</v>
      </c>
      <c r="X215" s="354">
        <f t="shared" si="43"/>
        <v>11926.783275000002</v>
      </c>
      <c r="Y215" s="461"/>
      <c r="Z215" s="461"/>
      <c r="AA215" s="461"/>
      <c r="AB215" s="423"/>
      <c r="AC215" s="423"/>
      <c r="AD215" s="423"/>
      <c r="AE215" s="423"/>
      <c r="AF215" s="424"/>
      <c r="AG215" s="424"/>
      <c r="AH215" s="425"/>
      <c r="AI215" s="424"/>
      <c r="AJ215" s="406"/>
    </row>
    <row r="216" spans="1:36" ht="10.5" customHeight="1">
      <c r="A216" s="126" t="s">
        <v>286</v>
      </c>
      <c r="B216" s="130" t="s">
        <v>276</v>
      </c>
      <c r="C216" s="131"/>
      <c r="D216" s="131"/>
      <c r="E216" s="131"/>
      <c r="F216" s="131"/>
      <c r="G216" s="132"/>
      <c r="H216" s="355">
        <f>X141</f>
        <v>8071.683750319015</v>
      </c>
      <c r="I216" s="357"/>
      <c r="J216" s="350">
        <f t="shared" si="40"/>
        <v>0</v>
      </c>
      <c r="K216" s="349"/>
      <c r="L216" s="351"/>
      <c r="M216" s="351"/>
      <c r="N216" s="351"/>
      <c r="O216" s="351"/>
      <c r="P216" s="351"/>
      <c r="Q216" s="351"/>
      <c r="R216" s="351"/>
      <c r="S216" s="351"/>
      <c r="T216" s="352">
        <f t="shared" si="41"/>
        <v>0</v>
      </c>
      <c r="U216" s="357">
        <v>0.3</v>
      </c>
      <c r="V216" s="352">
        <f t="shared" si="42"/>
        <v>2421.5051250957044</v>
      </c>
      <c r="W216" s="358">
        <v>0.7</v>
      </c>
      <c r="X216" s="354">
        <f t="shared" si="43"/>
        <v>5650.1786252233105</v>
      </c>
      <c r="Y216" s="461"/>
      <c r="Z216" s="461"/>
      <c r="AA216" s="461"/>
      <c r="AB216" s="423"/>
      <c r="AC216" s="423"/>
      <c r="AD216" s="423"/>
      <c r="AE216" s="423"/>
      <c r="AF216" s="424"/>
      <c r="AG216" s="424"/>
      <c r="AH216" s="425"/>
      <c r="AI216" s="424"/>
      <c r="AJ216" s="406"/>
    </row>
    <row r="217" spans="1:36" ht="10.5" customHeight="1" thickBot="1">
      <c r="A217" s="127" t="s">
        <v>287</v>
      </c>
      <c r="B217" s="605" t="s">
        <v>299</v>
      </c>
      <c r="C217" s="606"/>
      <c r="D217" s="606"/>
      <c r="E217" s="606"/>
      <c r="F217" s="606"/>
      <c r="G217" s="607"/>
      <c r="H217" s="359">
        <f>X155</f>
        <v>933.63</v>
      </c>
      <c r="I217" s="360"/>
      <c r="J217" s="361">
        <f t="shared" si="40"/>
        <v>0</v>
      </c>
      <c r="K217" s="360"/>
      <c r="L217" s="362"/>
      <c r="M217" s="362"/>
      <c r="N217" s="362"/>
      <c r="O217" s="362"/>
      <c r="P217" s="362"/>
      <c r="Q217" s="362"/>
      <c r="R217" s="362"/>
      <c r="S217" s="362"/>
      <c r="T217" s="363">
        <f t="shared" si="41"/>
        <v>0</v>
      </c>
      <c r="U217" s="360"/>
      <c r="V217" s="363">
        <f t="shared" si="42"/>
        <v>0</v>
      </c>
      <c r="W217" s="364">
        <v>1</v>
      </c>
      <c r="X217" s="365">
        <f t="shared" si="43"/>
        <v>933.63</v>
      </c>
      <c r="Y217" s="461"/>
      <c r="Z217" s="461"/>
      <c r="AA217" s="461"/>
      <c r="AB217" s="423"/>
      <c r="AC217" s="423"/>
      <c r="AD217" s="423"/>
      <c r="AE217" s="423"/>
      <c r="AF217" s="424"/>
      <c r="AG217" s="424"/>
      <c r="AH217" s="425"/>
      <c r="AI217" s="424"/>
      <c r="AJ217" s="406"/>
    </row>
    <row r="218" spans="1:36" ht="10.5" customHeight="1">
      <c r="A218" s="366"/>
      <c r="B218" s="682"/>
      <c r="C218" s="682"/>
      <c r="D218" s="682"/>
      <c r="E218" s="367"/>
      <c r="F218" s="367"/>
      <c r="G218" s="83" t="s">
        <v>76</v>
      </c>
      <c r="H218" s="368">
        <v>1</v>
      </c>
      <c r="I218" s="356"/>
      <c r="J218" s="369"/>
      <c r="K218" s="84"/>
      <c r="L218" s="370"/>
      <c r="M218" s="370"/>
      <c r="N218" s="370"/>
      <c r="O218" s="370"/>
      <c r="P218" s="370"/>
      <c r="Q218" s="370"/>
      <c r="R218" s="370"/>
      <c r="S218" s="371"/>
      <c r="T218" s="369"/>
      <c r="U218" s="84"/>
      <c r="V218" s="369"/>
      <c r="W218" s="84"/>
      <c r="X218" s="369"/>
      <c r="Y218" s="462"/>
      <c r="Z218" s="462"/>
      <c r="AA218" s="462"/>
      <c r="AB218" s="427"/>
      <c r="AC218" s="427"/>
      <c r="AD218" s="427"/>
      <c r="AE218" s="427"/>
      <c r="AF218" s="428"/>
      <c r="AG218" s="427"/>
      <c r="AH218" s="429"/>
      <c r="AI218" s="430"/>
      <c r="AJ218" s="406"/>
    </row>
    <row r="219" spans="1:36" ht="10.5" customHeight="1">
      <c r="A219" s="366"/>
      <c r="B219" s="683"/>
      <c r="C219" s="683"/>
      <c r="D219" s="683"/>
      <c r="E219" s="372"/>
      <c r="F219" s="626" t="s">
        <v>93</v>
      </c>
      <c r="G219" s="627"/>
      <c r="H219" s="373">
        <f>SUM(H207:H217)</f>
        <v>487004.0579072614</v>
      </c>
      <c r="I219" s="592">
        <f>SUM(J207:J217)</f>
        <v>29760.751999999997</v>
      </c>
      <c r="J219" s="593"/>
      <c r="K219" s="592">
        <f>SUM(T207:T217)</f>
        <v>97163.82494270682</v>
      </c>
      <c r="L219" s="616"/>
      <c r="M219" s="616"/>
      <c r="N219" s="616"/>
      <c r="O219" s="616"/>
      <c r="P219" s="616"/>
      <c r="Q219" s="616"/>
      <c r="R219" s="616"/>
      <c r="S219" s="616"/>
      <c r="T219" s="593"/>
      <c r="U219" s="592">
        <f>SUM(V207:V217)</f>
        <v>173225.4080643313</v>
      </c>
      <c r="V219" s="593"/>
      <c r="W219" s="592">
        <f>SUM(X207:X217)</f>
        <v>186854.07290022328</v>
      </c>
      <c r="X219" s="593"/>
      <c r="Y219" s="385"/>
      <c r="Z219" s="385"/>
      <c r="AA219" s="385"/>
      <c r="AB219" s="386"/>
      <c r="AC219" s="386"/>
      <c r="AD219" s="386"/>
      <c r="AE219" s="386"/>
      <c r="AF219" s="671"/>
      <c r="AG219" s="671"/>
      <c r="AH219" s="671"/>
      <c r="AI219" s="671"/>
      <c r="AJ219" s="406"/>
    </row>
    <row r="220" spans="1:36" ht="10.5" customHeight="1" thickBot="1">
      <c r="A220" s="374"/>
      <c r="B220" s="684"/>
      <c r="C220" s="684"/>
      <c r="D220" s="684"/>
      <c r="E220" s="375"/>
      <c r="F220" s="634" t="s">
        <v>67</v>
      </c>
      <c r="G220" s="635"/>
      <c r="H220" s="376">
        <f>SUM(I219+K219+U219+W219)</f>
        <v>487004.0579072614</v>
      </c>
      <c r="I220" s="608">
        <f>SUM(J207:J217)</f>
        <v>29760.751999999997</v>
      </c>
      <c r="J220" s="609"/>
      <c r="K220" s="608">
        <f>K219+I219</f>
        <v>126924.57694270682</v>
      </c>
      <c r="L220" s="628"/>
      <c r="M220" s="628"/>
      <c r="N220" s="628"/>
      <c r="O220" s="628"/>
      <c r="P220" s="628"/>
      <c r="Q220" s="628"/>
      <c r="R220" s="628"/>
      <c r="S220" s="628"/>
      <c r="T220" s="609"/>
      <c r="U220" s="608">
        <f>U219+K219+I219</f>
        <v>300149.9850070381</v>
      </c>
      <c r="V220" s="609"/>
      <c r="W220" s="608">
        <f>W219+U219+K219+I219</f>
        <v>487004.0579072614</v>
      </c>
      <c r="X220" s="609"/>
      <c r="Y220" s="385"/>
      <c r="Z220" s="385"/>
      <c r="AA220" s="385"/>
      <c r="AB220" s="386"/>
      <c r="AC220" s="386"/>
      <c r="AD220" s="386"/>
      <c r="AE220" s="386"/>
      <c r="AF220" s="671"/>
      <c r="AG220" s="671"/>
      <c r="AH220" s="671"/>
      <c r="AI220" s="671"/>
      <c r="AJ220" s="406"/>
    </row>
    <row r="221" spans="1:35" ht="10.5" customHeight="1" thickBo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386"/>
      <c r="AC221" s="386"/>
      <c r="AD221" s="386"/>
      <c r="AE221" s="386"/>
      <c r="AF221" s="384"/>
      <c r="AG221" s="384"/>
      <c r="AH221" s="431"/>
      <c r="AI221" s="384"/>
    </row>
    <row r="222" spans="1:35" ht="10.5" customHeight="1" thickBot="1">
      <c r="A222" s="584" t="s">
        <v>442</v>
      </c>
      <c r="B222" s="585"/>
      <c r="C222" s="585"/>
      <c r="D222" s="585"/>
      <c r="E222" s="585"/>
      <c r="F222" s="585"/>
      <c r="G222" s="585"/>
      <c r="H222" s="585"/>
      <c r="I222" s="585"/>
      <c r="J222" s="585"/>
      <c r="K222" s="585"/>
      <c r="L222" s="585"/>
      <c r="M222" s="585"/>
      <c r="N222" s="585"/>
      <c r="O222" s="585"/>
      <c r="P222" s="585"/>
      <c r="Q222" s="585"/>
      <c r="R222" s="585"/>
      <c r="S222" s="585"/>
      <c r="T222" s="585"/>
      <c r="U222" s="585"/>
      <c r="V222" s="585"/>
      <c r="W222" s="585"/>
      <c r="X222" s="586"/>
      <c r="Y222" s="463"/>
      <c r="Z222" s="463"/>
      <c r="AA222" s="463"/>
      <c r="AB222" s="386"/>
      <c r="AC222" s="386"/>
      <c r="AD222" s="386"/>
      <c r="AE222" s="386"/>
      <c r="AF222" s="384"/>
      <c r="AG222" s="384"/>
      <c r="AH222" s="431"/>
      <c r="AI222" s="384"/>
    </row>
    <row r="223" spans="1:35" ht="10.5" customHeight="1">
      <c r="A223" s="557" t="s">
        <v>60</v>
      </c>
      <c r="B223" s="531" t="s">
        <v>0</v>
      </c>
      <c r="C223" s="532"/>
      <c r="D223" s="532"/>
      <c r="E223" s="532"/>
      <c r="F223" s="532"/>
      <c r="G223" s="533"/>
      <c r="H223" s="537" t="s">
        <v>274</v>
      </c>
      <c r="I223" s="539" t="s">
        <v>443</v>
      </c>
      <c r="J223" s="540"/>
      <c r="K223" s="576" t="s">
        <v>444</v>
      </c>
      <c r="L223" s="577"/>
      <c r="M223" s="577"/>
      <c r="N223" s="577"/>
      <c r="O223" s="577"/>
      <c r="P223" s="577"/>
      <c r="Q223" s="577"/>
      <c r="R223" s="577"/>
      <c r="S223" s="577"/>
      <c r="T223" s="540"/>
      <c r="U223" s="576" t="s">
        <v>445</v>
      </c>
      <c r="V223" s="540"/>
      <c r="W223" s="161" t="s">
        <v>446</v>
      </c>
      <c r="X223" s="162" t="s">
        <v>448</v>
      </c>
      <c r="Y223" s="464"/>
      <c r="Z223" s="464"/>
      <c r="AA223" s="464"/>
      <c r="AB223" s="386"/>
      <c r="AC223" s="386"/>
      <c r="AD223" s="386"/>
      <c r="AE223" s="386"/>
      <c r="AF223" s="384"/>
      <c r="AG223" s="384"/>
      <c r="AH223" s="431"/>
      <c r="AI223" s="384"/>
    </row>
    <row r="224" spans="1:35" ht="10.5" customHeight="1" thickBot="1">
      <c r="A224" s="558"/>
      <c r="B224" s="534"/>
      <c r="C224" s="535"/>
      <c r="D224" s="535"/>
      <c r="E224" s="535"/>
      <c r="F224" s="535"/>
      <c r="G224" s="536"/>
      <c r="H224" s="538"/>
      <c r="I224" s="167" t="s">
        <v>450</v>
      </c>
      <c r="J224" s="168" t="s">
        <v>44</v>
      </c>
      <c r="K224" s="168" t="s">
        <v>450</v>
      </c>
      <c r="L224" s="168" t="s">
        <v>44</v>
      </c>
      <c r="M224" s="169"/>
      <c r="N224" s="169"/>
      <c r="O224" s="169"/>
      <c r="P224" s="169"/>
      <c r="Q224" s="169"/>
      <c r="R224" s="169"/>
      <c r="S224" s="169"/>
      <c r="T224" s="168" t="s">
        <v>44</v>
      </c>
      <c r="U224" s="168" t="s">
        <v>450</v>
      </c>
      <c r="V224" s="168" t="s">
        <v>44</v>
      </c>
      <c r="W224" s="168" t="s">
        <v>447</v>
      </c>
      <c r="X224" s="172" t="s">
        <v>449</v>
      </c>
      <c r="Y224" s="464"/>
      <c r="Z224" s="464"/>
      <c r="AA224" s="464"/>
      <c r="AB224" s="386"/>
      <c r="AC224" s="386"/>
      <c r="AD224" s="386"/>
      <c r="AE224" s="386"/>
      <c r="AF224" s="384"/>
      <c r="AG224" s="384"/>
      <c r="AH224" s="431"/>
      <c r="AI224" s="384"/>
    </row>
    <row r="225" spans="1:35" ht="10.5" customHeight="1">
      <c r="A225" s="164" t="s">
        <v>277</v>
      </c>
      <c r="B225" s="156" t="s">
        <v>125</v>
      </c>
      <c r="C225" s="157"/>
      <c r="D225" s="157"/>
      <c r="E225" s="157"/>
      <c r="F225" s="157"/>
      <c r="G225" s="157"/>
      <c r="H225" s="179">
        <f>H207</f>
        <v>2319.4970000000003</v>
      </c>
      <c r="I225" s="176">
        <f>J225*H225</f>
        <v>2319.4970000000003</v>
      </c>
      <c r="J225" s="377">
        <v>1</v>
      </c>
      <c r="K225" s="173">
        <f>T225*H225</f>
        <v>0</v>
      </c>
      <c r="L225" s="170"/>
      <c r="M225" s="170"/>
      <c r="N225" s="170"/>
      <c r="O225" s="170"/>
      <c r="P225" s="170"/>
      <c r="Q225" s="170"/>
      <c r="R225" s="170"/>
      <c r="S225" s="170"/>
      <c r="T225" s="378">
        <v>0</v>
      </c>
      <c r="U225" s="173">
        <f>V225*H225</f>
        <v>0</v>
      </c>
      <c r="V225" s="378">
        <v>0</v>
      </c>
      <c r="W225" s="182" t="s">
        <v>453</v>
      </c>
      <c r="X225" s="185" t="s">
        <v>454</v>
      </c>
      <c r="Y225" s="464"/>
      <c r="Z225" s="464"/>
      <c r="AA225" s="464"/>
      <c r="AB225" s="386"/>
      <c r="AC225" s="386"/>
      <c r="AD225" s="386"/>
      <c r="AE225" s="386"/>
      <c r="AF225" s="384"/>
      <c r="AG225" s="384"/>
      <c r="AH225" s="431"/>
      <c r="AI225" s="384"/>
    </row>
    <row r="226" spans="1:35" ht="10.5" customHeight="1">
      <c r="A226" s="165" t="s">
        <v>278</v>
      </c>
      <c r="B226" s="88" t="s">
        <v>102</v>
      </c>
      <c r="C226" s="87"/>
      <c r="D226" s="87"/>
      <c r="E226" s="87"/>
      <c r="F226" s="87"/>
      <c r="G226" s="87"/>
      <c r="H226" s="180">
        <f aca="true" t="shared" si="44" ref="H226:H235">H208</f>
        <v>59970.455367156195</v>
      </c>
      <c r="I226" s="177">
        <f>J226*H226</f>
        <v>59970.455367156195</v>
      </c>
      <c r="J226" s="379">
        <v>1</v>
      </c>
      <c r="K226" s="174">
        <f>T226*H226</f>
        <v>0</v>
      </c>
      <c r="L226" s="160"/>
      <c r="M226" s="160"/>
      <c r="N226" s="160"/>
      <c r="O226" s="160"/>
      <c r="P226" s="160"/>
      <c r="Q226" s="160"/>
      <c r="R226" s="160"/>
      <c r="S226" s="160"/>
      <c r="T226" s="380">
        <v>0</v>
      </c>
      <c r="U226" s="174">
        <f>V226*H226</f>
        <v>0</v>
      </c>
      <c r="V226" s="380">
        <v>0</v>
      </c>
      <c r="W226" s="183" t="s">
        <v>452</v>
      </c>
      <c r="X226" s="186" t="s">
        <v>454</v>
      </c>
      <c r="Y226" s="464"/>
      <c r="Z226" s="464"/>
      <c r="AA226" s="464"/>
      <c r="AB226" s="386"/>
      <c r="AC226" s="386"/>
      <c r="AD226" s="386"/>
      <c r="AE226" s="386"/>
      <c r="AF226" s="384"/>
      <c r="AG226" s="384"/>
      <c r="AH226" s="431"/>
      <c r="AI226" s="384"/>
    </row>
    <row r="227" spans="1:35" ht="10.5" customHeight="1">
      <c r="A227" s="165" t="s">
        <v>279</v>
      </c>
      <c r="B227" s="88" t="s">
        <v>115</v>
      </c>
      <c r="C227" s="87"/>
      <c r="D227" s="87"/>
      <c r="E227" s="87"/>
      <c r="F227" s="87"/>
      <c r="G227" s="87"/>
      <c r="H227" s="180">
        <f t="shared" si="44"/>
        <v>16608.703289786223</v>
      </c>
      <c r="I227" s="177">
        <f aca="true" t="shared" si="45" ref="I227:I235">J227*H227</f>
        <v>16608.703289786223</v>
      </c>
      <c r="J227" s="379">
        <v>1</v>
      </c>
      <c r="K227" s="174">
        <f aca="true" t="shared" si="46" ref="K227:K234">T227*H227</f>
        <v>0</v>
      </c>
      <c r="L227" s="160"/>
      <c r="M227" s="160"/>
      <c r="N227" s="160"/>
      <c r="O227" s="160"/>
      <c r="P227" s="160"/>
      <c r="Q227" s="160"/>
      <c r="R227" s="160"/>
      <c r="S227" s="160"/>
      <c r="T227" s="380">
        <v>0</v>
      </c>
      <c r="U227" s="174">
        <f aca="true" t="shared" si="47" ref="U227:U234">V227*H227</f>
        <v>0</v>
      </c>
      <c r="V227" s="380">
        <v>0</v>
      </c>
      <c r="W227" s="183" t="s">
        <v>452</v>
      </c>
      <c r="X227" s="186" t="s">
        <v>454</v>
      </c>
      <c r="Y227" s="464"/>
      <c r="Z227" s="464"/>
      <c r="AA227" s="464"/>
      <c r="AB227" s="386"/>
      <c r="AC227" s="386"/>
      <c r="AD227" s="386"/>
      <c r="AE227" s="386"/>
      <c r="AF227" s="384"/>
      <c r="AG227" s="384"/>
      <c r="AH227" s="431"/>
      <c r="AI227" s="384"/>
    </row>
    <row r="228" spans="1:35" ht="10.5" customHeight="1">
      <c r="A228" s="165" t="s">
        <v>280</v>
      </c>
      <c r="B228" s="88" t="s">
        <v>288</v>
      </c>
      <c r="C228" s="87"/>
      <c r="D228" s="87"/>
      <c r="E228" s="87"/>
      <c r="F228" s="87"/>
      <c r="G228" s="87"/>
      <c r="H228" s="180">
        <f t="shared" si="44"/>
        <v>279464.66</v>
      </c>
      <c r="I228" s="177">
        <f t="shared" si="45"/>
        <v>279464.66</v>
      </c>
      <c r="J228" s="379">
        <v>1</v>
      </c>
      <c r="K228" s="174">
        <f t="shared" si="46"/>
        <v>0</v>
      </c>
      <c r="L228" s="160"/>
      <c r="M228" s="160"/>
      <c r="N228" s="160"/>
      <c r="O228" s="160"/>
      <c r="P228" s="160"/>
      <c r="Q228" s="160"/>
      <c r="R228" s="160"/>
      <c r="S228" s="160"/>
      <c r="T228" s="380">
        <v>0</v>
      </c>
      <c r="U228" s="174">
        <f t="shared" si="47"/>
        <v>0</v>
      </c>
      <c r="V228" s="380">
        <v>0</v>
      </c>
      <c r="W228" s="183" t="s">
        <v>452</v>
      </c>
      <c r="X228" s="186" t="s">
        <v>454</v>
      </c>
      <c r="Y228" s="464"/>
      <c r="Z228" s="464"/>
      <c r="AA228" s="464"/>
      <c r="AB228" s="386"/>
      <c r="AC228" s="386"/>
      <c r="AD228" s="386"/>
      <c r="AE228" s="386"/>
      <c r="AF228" s="384"/>
      <c r="AG228" s="384"/>
      <c r="AH228" s="431"/>
      <c r="AI228" s="384"/>
    </row>
    <row r="229" spans="1:35" ht="10.5" customHeight="1">
      <c r="A229" s="165" t="s">
        <v>281</v>
      </c>
      <c r="B229" s="88" t="s">
        <v>390</v>
      </c>
      <c r="C229" s="87"/>
      <c r="D229" s="87"/>
      <c r="E229" s="87"/>
      <c r="F229" s="87"/>
      <c r="G229" s="87"/>
      <c r="H229" s="180">
        <f t="shared" si="44"/>
        <v>12525.12</v>
      </c>
      <c r="I229" s="177">
        <f t="shared" si="45"/>
        <v>12525.12</v>
      </c>
      <c r="J229" s="379">
        <v>1</v>
      </c>
      <c r="K229" s="174">
        <f t="shared" si="46"/>
        <v>0</v>
      </c>
      <c r="L229" s="160"/>
      <c r="M229" s="160"/>
      <c r="N229" s="160"/>
      <c r="O229" s="160"/>
      <c r="P229" s="160"/>
      <c r="Q229" s="160"/>
      <c r="R229" s="160"/>
      <c r="S229" s="160"/>
      <c r="T229" s="380">
        <v>0</v>
      </c>
      <c r="U229" s="174">
        <f t="shared" si="47"/>
        <v>0</v>
      </c>
      <c r="V229" s="380">
        <v>0</v>
      </c>
      <c r="W229" s="183" t="s">
        <v>452</v>
      </c>
      <c r="X229" s="186" t="s">
        <v>454</v>
      </c>
      <c r="Y229" s="464"/>
      <c r="Z229" s="464"/>
      <c r="AA229" s="464"/>
      <c r="AB229" s="386"/>
      <c r="AC229" s="386"/>
      <c r="AD229" s="386"/>
      <c r="AE229" s="386"/>
      <c r="AF229" s="384"/>
      <c r="AG229" s="384"/>
      <c r="AH229" s="431"/>
      <c r="AI229" s="384"/>
    </row>
    <row r="230" spans="1:35" ht="10.5" customHeight="1">
      <c r="A230" s="165" t="s">
        <v>282</v>
      </c>
      <c r="B230" s="88" t="s">
        <v>315</v>
      </c>
      <c r="C230" s="87"/>
      <c r="D230" s="87"/>
      <c r="E230" s="87"/>
      <c r="F230" s="87"/>
      <c r="G230" s="87"/>
      <c r="H230" s="180">
        <f t="shared" si="44"/>
        <v>3924.16</v>
      </c>
      <c r="I230" s="177">
        <f t="shared" si="45"/>
        <v>3924.16</v>
      </c>
      <c r="J230" s="379">
        <v>1</v>
      </c>
      <c r="K230" s="174">
        <f t="shared" si="46"/>
        <v>0</v>
      </c>
      <c r="L230" s="160"/>
      <c r="M230" s="160"/>
      <c r="N230" s="160"/>
      <c r="O230" s="160"/>
      <c r="P230" s="160"/>
      <c r="Q230" s="160"/>
      <c r="R230" s="160"/>
      <c r="S230" s="160"/>
      <c r="T230" s="380">
        <v>0</v>
      </c>
      <c r="U230" s="174">
        <f t="shared" si="47"/>
        <v>0</v>
      </c>
      <c r="V230" s="380">
        <v>0</v>
      </c>
      <c r="W230" s="183" t="s">
        <v>452</v>
      </c>
      <c r="X230" s="186" t="s">
        <v>454</v>
      </c>
      <c r="Y230" s="464"/>
      <c r="Z230" s="464"/>
      <c r="AA230" s="464"/>
      <c r="AB230" s="386"/>
      <c r="AC230" s="386"/>
      <c r="AD230" s="386"/>
      <c r="AE230" s="386"/>
      <c r="AF230" s="384"/>
      <c r="AG230" s="384"/>
      <c r="AH230" s="431"/>
      <c r="AI230" s="384"/>
    </row>
    <row r="231" spans="1:35" ht="10.5" customHeight="1">
      <c r="A231" s="165" t="s">
        <v>283</v>
      </c>
      <c r="B231" s="88" t="s">
        <v>130</v>
      </c>
      <c r="C231" s="87"/>
      <c r="D231" s="87"/>
      <c r="E231" s="87"/>
      <c r="F231" s="87"/>
      <c r="G231" s="87"/>
      <c r="H231" s="180">
        <f t="shared" si="44"/>
        <v>54882.509999999995</v>
      </c>
      <c r="I231" s="177">
        <f t="shared" si="45"/>
        <v>54882.509999999995</v>
      </c>
      <c r="J231" s="379">
        <v>1</v>
      </c>
      <c r="K231" s="174">
        <f t="shared" si="46"/>
        <v>0</v>
      </c>
      <c r="L231" s="160"/>
      <c r="M231" s="160"/>
      <c r="N231" s="160"/>
      <c r="O231" s="160"/>
      <c r="P231" s="160"/>
      <c r="Q231" s="160"/>
      <c r="R231" s="160"/>
      <c r="S231" s="160"/>
      <c r="T231" s="380">
        <v>0</v>
      </c>
      <c r="U231" s="174">
        <f t="shared" si="47"/>
        <v>0</v>
      </c>
      <c r="V231" s="380">
        <v>0</v>
      </c>
      <c r="W231" s="183" t="s">
        <v>452</v>
      </c>
      <c r="X231" s="186" t="s">
        <v>454</v>
      </c>
      <c r="Y231" s="464"/>
      <c r="Z231" s="464"/>
      <c r="AA231" s="464"/>
      <c r="AB231" s="386"/>
      <c r="AC231" s="386"/>
      <c r="AD231" s="386"/>
      <c r="AE231" s="386"/>
      <c r="AF231" s="384"/>
      <c r="AG231" s="384"/>
      <c r="AH231" s="431"/>
      <c r="AI231" s="384"/>
    </row>
    <row r="232" spans="1:35" ht="10.5" customHeight="1">
      <c r="A232" s="165" t="s">
        <v>284</v>
      </c>
      <c r="B232" s="88" t="s">
        <v>184</v>
      </c>
      <c r="C232" s="87"/>
      <c r="D232" s="87"/>
      <c r="E232" s="87"/>
      <c r="F232" s="87"/>
      <c r="G232" s="87"/>
      <c r="H232" s="180">
        <f t="shared" si="44"/>
        <v>12161.871</v>
      </c>
      <c r="I232" s="177">
        <f t="shared" si="45"/>
        <v>12161.871</v>
      </c>
      <c r="J232" s="379">
        <v>1</v>
      </c>
      <c r="K232" s="174">
        <f t="shared" si="46"/>
        <v>0</v>
      </c>
      <c r="L232" s="160"/>
      <c r="M232" s="160"/>
      <c r="N232" s="160"/>
      <c r="O232" s="160"/>
      <c r="P232" s="160"/>
      <c r="Q232" s="160"/>
      <c r="R232" s="160"/>
      <c r="S232" s="160"/>
      <c r="T232" s="380">
        <v>0</v>
      </c>
      <c r="U232" s="174">
        <f t="shared" si="47"/>
        <v>0</v>
      </c>
      <c r="V232" s="380">
        <v>0</v>
      </c>
      <c r="W232" s="183" t="s">
        <v>452</v>
      </c>
      <c r="X232" s="186" t="s">
        <v>454</v>
      </c>
      <c r="Y232" s="464"/>
      <c r="Z232" s="464"/>
      <c r="AA232" s="464"/>
      <c r="AB232" s="386"/>
      <c r="AC232" s="386"/>
      <c r="AD232" s="386"/>
      <c r="AE232" s="386"/>
      <c r="AF232" s="384"/>
      <c r="AG232" s="384"/>
      <c r="AH232" s="431"/>
      <c r="AI232" s="384"/>
    </row>
    <row r="233" spans="1:35" ht="10.5" customHeight="1">
      <c r="A233" s="165" t="s">
        <v>285</v>
      </c>
      <c r="B233" s="88" t="s">
        <v>391</v>
      </c>
      <c r="C233" s="87"/>
      <c r="D233" s="87"/>
      <c r="E233" s="87"/>
      <c r="F233" s="87"/>
      <c r="G233" s="87"/>
      <c r="H233" s="180">
        <f t="shared" si="44"/>
        <v>36141.7675</v>
      </c>
      <c r="I233" s="177">
        <f t="shared" si="45"/>
        <v>36141.7675</v>
      </c>
      <c r="J233" s="379">
        <v>1</v>
      </c>
      <c r="K233" s="174">
        <f t="shared" si="46"/>
        <v>0</v>
      </c>
      <c r="L233" s="160"/>
      <c r="M233" s="160"/>
      <c r="N233" s="160"/>
      <c r="O233" s="160"/>
      <c r="P233" s="160"/>
      <c r="Q233" s="160"/>
      <c r="R233" s="160"/>
      <c r="S233" s="160"/>
      <c r="T233" s="380">
        <v>0</v>
      </c>
      <c r="U233" s="174">
        <f t="shared" si="47"/>
        <v>0</v>
      </c>
      <c r="V233" s="380">
        <v>0</v>
      </c>
      <c r="W233" s="183" t="s">
        <v>452</v>
      </c>
      <c r="X233" s="186" t="s">
        <v>454</v>
      </c>
      <c r="Y233" s="464"/>
      <c r="Z233" s="464"/>
      <c r="AA233" s="464"/>
      <c r="AB233" s="386"/>
      <c r="AC233" s="386"/>
      <c r="AD233" s="386"/>
      <c r="AE233" s="386"/>
      <c r="AF233" s="384"/>
      <c r="AG233" s="384"/>
      <c r="AH233" s="431"/>
      <c r="AI233" s="384"/>
    </row>
    <row r="234" spans="1:35" ht="10.5" customHeight="1">
      <c r="A234" s="165" t="s">
        <v>286</v>
      </c>
      <c r="B234" s="88" t="s">
        <v>276</v>
      </c>
      <c r="C234" s="87"/>
      <c r="D234" s="87"/>
      <c r="E234" s="87"/>
      <c r="F234" s="87"/>
      <c r="G234" s="87"/>
      <c r="H234" s="180">
        <f t="shared" si="44"/>
        <v>8071.683750319015</v>
      </c>
      <c r="I234" s="177">
        <f t="shared" si="45"/>
        <v>8071.683750319015</v>
      </c>
      <c r="J234" s="379">
        <v>1</v>
      </c>
      <c r="K234" s="174">
        <f t="shared" si="46"/>
        <v>0</v>
      </c>
      <c r="L234" s="160"/>
      <c r="M234" s="160"/>
      <c r="N234" s="160"/>
      <c r="O234" s="160"/>
      <c r="P234" s="160"/>
      <c r="Q234" s="160"/>
      <c r="R234" s="160"/>
      <c r="S234" s="160"/>
      <c r="T234" s="380">
        <v>0</v>
      </c>
      <c r="U234" s="174">
        <f t="shared" si="47"/>
        <v>0</v>
      </c>
      <c r="V234" s="380">
        <v>0</v>
      </c>
      <c r="W234" s="183" t="s">
        <v>452</v>
      </c>
      <c r="X234" s="186" t="s">
        <v>454</v>
      </c>
      <c r="Y234" s="464"/>
      <c r="Z234" s="464"/>
      <c r="AA234" s="464"/>
      <c r="AB234" s="386"/>
      <c r="AC234" s="386"/>
      <c r="AD234" s="386"/>
      <c r="AE234" s="386"/>
      <c r="AF234" s="384"/>
      <c r="AG234" s="384"/>
      <c r="AH234" s="431"/>
      <c r="AI234" s="384"/>
    </row>
    <row r="235" spans="1:35" ht="10.5" customHeight="1" thickBot="1">
      <c r="A235" s="166" t="s">
        <v>287</v>
      </c>
      <c r="B235" s="158" t="s">
        <v>299</v>
      </c>
      <c r="C235" s="159"/>
      <c r="D235" s="159"/>
      <c r="E235" s="159"/>
      <c r="F235" s="159"/>
      <c r="G235" s="159"/>
      <c r="H235" s="181">
        <f t="shared" si="44"/>
        <v>933.63</v>
      </c>
      <c r="I235" s="178">
        <f t="shared" si="45"/>
        <v>933.63</v>
      </c>
      <c r="J235" s="381">
        <v>1</v>
      </c>
      <c r="K235" s="175">
        <f>T235*H235</f>
        <v>0</v>
      </c>
      <c r="L235" s="163"/>
      <c r="M235" s="163"/>
      <c r="N235" s="163"/>
      <c r="O235" s="163"/>
      <c r="P235" s="163"/>
      <c r="Q235" s="163"/>
      <c r="R235" s="163"/>
      <c r="S235" s="163"/>
      <c r="T235" s="382">
        <v>0</v>
      </c>
      <c r="U235" s="175">
        <f>V235*H235</f>
        <v>0</v>
      </c>
      <c r="V235" s="382">
        <v>0</v>
      </c>
      <c r="W235" s="184" t="s">
        <v>452</v>
      </c>
      <c r="X235" s="187" t="s">
        <v>454</v>
      </c>
      <c r="Y235" s="464"/>
      <c r="Z235" s="464"/>
      <c r="AA235" s="464"/>
      <c r="AB235" s="386"/>
      <c r="AC235" s="386"/>
      <c r="AD235" s="386"/>
      <c r="AE235" s="386"/>
      <c r="AF235" s="384"/>
      <c r="AG235" s="384"/>
      <c r="AH235" s="431"/>
      <c r="AI235" s="384"/>
    </row>
    <row r="236" spans="1:35" ht="10.5" customHeight="1">
      <c r="A236" s="555" t="s">
        <v>455</v>
      </c>
      <c r="B236" s="532"/>
      <c r="C236" s="532"/>
      <c r="D236" s="532"/>
      <c r="E236" s="532"/>
      <c r="F236" s="556"/>
      <c r="G236" s="188" t="s">
        <v>76</v>
      </c>
      <c r="H236" s="191"/>
      <c r="I236" s="190"/>
      <c r="J236" s="193">
        <v>1</v>
      </c>
      <c r="K236" s="190"/>
      <c r="L236" s="190"/>
      <c r="M236" s="190"/>
      <c r="N236" s="190"/>
      <c r="O236" s="190"/>
      <c r="P236" s="190"/>
      <c r="Q236" s="190"/>
      <c r="R236" s="190"/>
      <c r="S236" s="190"/>
      <c r="T236" s="193">
        <v>0</v>
      </c>
      <c r="U236" s="190"/>
      <c r="V236" s="193">
        <v>0</v>
      </c>
      <c r="W236" s="190"/>
      <c r="X236" s="192"/>
      <c r="Y236" s="87"/>
      <c r="Z236" s="87"/>
      <c r="AA236" s="87"/>
      <c r="AB236" s="386"/>
      <c r="AC236" s="386"/>
      <c r="AD236" s="386"/>
      <c r="AE236" s="386"/>
      <c r="AF236" s="384"/>
      <c r="AG236" s="384"/>
      <c r="AH236" s="431"/>
      <c r="AI236" s="384"/>
    </row>
    <row r="237" spans="1:35" ht="10.5" customHeight="1" thickBot="1">
      <c r="A237" s="553" t="s">
        <v>456</v>
      </c>
      <c r="B237" s="535"/>
      <c r="C237" s="535"/>
      <c r="D237" s="535"/>
      <c r="E237" s="535"/>
      <c r="F237" s="554"/>
      <c r="G237" s="189" t="s">
        <v>451</v>
      </c>
      <c r="H237" s="194">
        <f>SUM(H225:H235)</f>
        <v>487004.0579072614</v>
      </c>
      <c r="I237" s="195">
        <f>SUM(I225:I235)</f>
        <v>487004.0579072614</v>
      </c>
      <c r="J237" s="163"/>
      <c r="K237" s="196">
        <f>SUM(K225:K235)</f>
        <v>0</v>
      </c>
      <c r="L237" s="163"/>
      <c r="M237" s="163"/>
      <c r="N237" s="163"/>
      <c r="O237" s="163"/>
      <c r="P237" s="163"/>
      <c r="Q237" s="163"/>
      <c r="R237" s="163"/>
      <c r="S237" s="163"/>
      <c r="T237" s="163"/>
      <c r="U237" s="196">
        <f>SUM(U225:U235)</f>
        <v>0</v>
      </c>
      <c r="V237" s="163"/>
      <c r="W237" s="163"/>
      <c r="X237" s="171"/>
      <c r="Y237" s="87"/>
      <c r="Z237" s="87"/>
      <c r="AA237" s="87"/>
      <c r="AB237" s="386"/>
      <c r="AC237" s="386"/>
      <c r="AD237" s="386"/>
      <c r="AE237" s="386"/>
      <c r="AF237" s="384"/>
      <c r="AG237" s="384"/>
      <c r="AH237" s="431"/>
      <c r="AI237" s="384"/>
    </row>
    <row r="238" spans="1:35" ht="10.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386"/>
      <c r="AC238" s="386"/>
      <c r="AD238" s="386"/>
      <c r="AE238" s="386"/>
      <c r="AF238" s="384"/>
      <c r="AG238" s="384"/>
      <c r="AH238" s="431"/>
      <c r="AI238" s="384"/>
    </row>
    <row r="239" spans="1:35" ht="10.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386"/>
      <c r="AC239" s="386"/>
      <c r="AD239" s="386"/>
      <c r="AE239" s="386"/>
      <c r="AF239" s="384"/>
      <c r="AG239" s="384"/>
      <c r="AH239" s="431"/>
      <c r="AI239" s="384"/>
    </row>
    <row r="240" spans="1:35" ht="10.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386"/>
      <c r="AC240" s="386"/>
      <c r="AD240" s="386"/>
      <c r="AE240" s="386"/>
      <c r="AF240" s="384"/>
      <c r="AG240" s="384"/>
      <c r="AH240" s="431"/>
      <c r="AI240" s="384"/>
    </row>
    <row r="241" spans="1:35" ht="10.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386"/>
      <c r="AC241" s="386"/>
      <c r="AD241" s="386"/>
      <c r="AE241" s="386"/>
      <c r="AF241" s="384"/>
      <c r="AG241" s="384"/>
      <c r="AH241" s="431"/>
      <c r="AI241" s="384"/>
    </row>
    <row r="242" spans="1:35" ht="10.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386"/>
      <c r="AC242" s="386"/>
      <c r="AD242" s="386"/>
      <c r="AE242" s="386"/>
      <c r="AF242" s="384"/>
      <c r="AG242" s="384"/>
      <c r="AH242" s="431"/>
      <c r="AI242" s="384"/>
    </row>
    <row r="243" spans="1:35" ht="10.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386"/>
      <c r="AC243" s="386"/>
      <c r="AD243" s="386"/>
      <c r="AE243" s="386"/>
      <c r="AF243" s="384"/>
      <c r="AG243" s="384"/>
      <c r="AH243" s="431"/>
      <c r="AI243" s="384"/>
    </row>
    <row r="244" spans="1:35" ht="10.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386"/>
      <c r="AC244" s="386"/>
      <c r="AD244" s="386"/>
      <c r="AE244" s="386"/>
      <c r="AF244" s="384"/>
      <c r="AG244" s="384"/>
      <c r="AH244" s="431"/>
      <c r="AI244" s="384"/>
    </row>
    <row r="245" spans="1:35" ht="10.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386"/>
      <c r="AC245" s="386"/>
      <c r="AD245" s="386"/>
      <c r="AE245" s="386"/>
      <c r="AF245" s="384"/>
      <c r="AG245" s="384"/>
      <c r="AH245" s="431"/>
      <c r="AI245" s="384"/>
    </row>
    <row r="246" spans="1:35" ht="10.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386"/>
      <c r="AC246" s="386"/>
      <c r="AD246" s="386"/>
      <c r="AE246" s="386"/>
      <c r="AF246" s="384"/>
      <c r="AG246" s="384"/>
      <c r="AH246" s="431"/>
      <c r="AI246" s="384"/>
    </row>
    <row r="247" spans="1:35" ht="10.5" customHeight="1" thickBo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386"/>
      <c r="AC247" s="386"/>
      <c r="AD247" s="386"/>
      <c r="AE247" s="386"/>
      <c r="AF247" s="384"/>
      <c r="AG247" s="384"/>
      <c r="AH247" s="431"/>
      <c r="AI247" s="384"/>
    </row>
    <row r="248" spans="1:35" ht="10.5" customHeight="1">
      <c r="A248" s="156"/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202"/>
      <c r="Y248" s="87"/>
      <c r="Z248" s="87"/>
      <c r="AA248" s="87"/>
      <c r="AB248" s="386"/>
      <c r="AC248" s="386"/>
      <c r="AD248" s="386"/>
      <c r="AE248" s="386"/>
      <c r="AF248" s="384"/>
      <c r="AG248" s="384"/>
      <c r="AH248" s="431"/>
      <c r="AI248" s="384"/>
    </row>
    <row r="249" spans="1:35" ht="10.5" customHeight="1">
      <c r="A249" s="88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9"/>
      <c r="Y249" s="87"/>
      <c r="Z249" s="87"/>
      <c r="AA249" s="87"/>
      <c r="AB249" s="386"/>
      <c r="AC249" s="386"/>
      <c r="AD249" s="386"/>
      <c r="AE249" s="386"/>
      <c r="AF249" s="384"/>
      <c r="AG249" s="384"/>
      <c r="AH249" s="431"/>
      <c r="AI249" s="384"/>
    </row>
    <row r="250" spans="1:35" ht="10.5" customHeight="1">
      <c r="A250" s="88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9"/>
      <c r="Y250" s="87"/>
      <c r="Z250" s="87"/>
      <c r="AA250" s="87"/>
      <c r="AB250" s="386"/>
      <c r="AC250" s="386"/>
      <c r="AD250" s="386"/>
      <c r="AE250" s="386"/>
      <c r="AF250" s="384"/>
      <c r="AG250" s="384"/>
      <c r="AH250" s="431"/>
      <c r="AI250" s="384"/>
    </row>
    <row r="251" spans="1:35" ht="10.5" customHeight="1">
      <c r="A251" s="60"/>
      <c r="B251" s="51"/>
      <c r="C251" s="51"/>
      <c r="D251" s="51"/>
      <c r="E251" s="552" t="s">
        <v>271</v>
      </c>
      <c r="F251" s="552"/>
      <c r="G251" s="552"/>
      <c r="H251" s="552"/>
      <c r="I251" s="552"/>
      <c r="J251" s="552"/>
      <c r="K251" s="552"/>
      <c r="L251" s="552"/>
      <c r="M251" s="552"/>
      <c r="N251" s="552"/>
      <c r="O251" s="552"/>
      <c r="P251" s="552"/>
      <c r="Q251" s="552"/>
      <c r="R251" s="552"/>
      <c r="S251" s="552"/>
      <c r="T251" s="552"/>
      <c r="U251" s="552"/>
      <c r="V251" s="51"/>
      <c r="W251" s="51"/>
      <c r="X251" s="61"/>
      <c r="Y251" s="51"/>
      <c r="Z251" s="51"/>
      <c r="AA251" s="51"/>
      <c r="AB251" s="386"/>
      <c r="AC251" s="386"/>
      <c r="AD251" s="386"/>
      <c r="AE251" s="386"/>
      <c r="AF251" s="384"/>
      <c r="AG251" s="384"/>
      <c r="AH251" s="431"/>
      <c r="AI251" s="384"/>
    </row>
    <row r="252" spans="1:35" ht="10.5" customHeight="1">
      <c r="A252" s="60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61"/>
      <c r="Y252" s="51"/>
      <c r="Z252" s="51"/>
      <c r="AA252" s="51"/>
      <c r="AB252" s="386"/>
      <c r="AC252" s="386"/>
      <c r="AD252" s="386"/>
      <c r="AE252" s="386"/>
      <c r="AF252" s="384"/>
      <c r="AG252" s="384"/>
      <c r="AH252" s="431"/>
      <c r="AI252" s="384"/>
    </row>
    <row r="253" spans="1:35" ht="10.5" customHeight="1">
      <c r="A253" s="550" t="s">
        <v>272</v>
      </c>
      <c r="B253" s="551"/>
      <c r="C253" s="551"/>
      <c r="D253" s="551"/>
      <c r="E253" s="551"/>
      <c r="F253" s="551"/>
      <c r="G253" s="551"/>
      <c r="H253" s="278">
        <f>X158</f>
        <v>487004.0579072614</v>
      </c>
      <c r="I253" s="53" t="e">
        <f>I162</f>
        <v>#NAME?</v>
      </c>
      <c r="J253" s="279"/>
      <c r="K253" s="280"/>
      <c r="L253" s="281"/>
      <c r="M253" s="281"/>
      <c r="N253" s="281"/>
      <c r="O253" s="281"/>
      <c r="P253" s="281"/>
      <c r="Q253" s="282"/>
      <c r="R253" s="283"/>
      <c r="S253" s="283"/>
      <c r="T253" s="284"/>
      <c r="U253" s="284"/>
      <c r="V253" s="2"/>
      <c r="W253" s="2"/>
      <c r="X253" s="285"/>
      <c r="Y253" s="2"/>
      <c r="Z253" s="2"/>
      <c r="AA253" s="2"/>
      <c r="AB253" s="386"/>
      <c r="AC253" s="386"/>
      <c r="AD253" s="386"/>
      <c r="AE253" s="386"/>
      <c r="AF253" s="384"/>
      <c r="AG253" s="384"/>
      <c r="AH253" s="431"/>
      <c r="AI253" s="384"/>
    </row>
    <row r="254" spans="1:35" ht="10.5" customHeight="1">
      <c r="A254" s="60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61"/>
      <c r="Y254" s="51"/>
      <c r="Z254" s="51"/>
      <c r="AA254" s="51"/>
      <c r="AB254" s="386"/>
      <c r="AC254" s="386"/>
      <c r="AD254" s="386"/>
      <c r="AE254" s="386"/>
      <c r="AF254" s="384"/>
      <c r="AG254" s="384"/>
      <c r="AH254" s="431"/>
      <c r="AI254" s="384"/>
    </row>
    <row r="255" spans="1:35" ht="10.5" customHeight="1">
      <c r="A255" s="60"/>
      <c r="B255" s="51"/>
      <c r="C255" s="51"/>
      <c r="D255" s="51"/>
      <c r="E255" s="51"/>
      <c r="F255" s="51"/>
      <c r="G255" s="51"/>
      <c r="H255" s="552" t="s">
        <v>98</v>
      </c>
      <c r="I255" s="552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61"/>
      <c r="Y255" s="51"/>
      <c r="Z255" s="51"/>
      <c r="AA255" s="51"/>
      <c r="AB255" s="386"/>
      <c r="AC255" s="386"/>
      <c r="AD255" s="386"/>
      <c r="AE255" s="386"/>
      <c r="AF255" s="384"/>
      <c r="AG255" s="384"/>
      <c r="AH255" s="431"/>
      <c r="AI255" s="384"/>
    </row>
    <row r="256" spans="1:35" ht="10.5" customHeight="1">
      <c r="A256" s="60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61"/>
      <c r="Y256" s="51"/>
      <c r="Z256" s="51"/>
      <c r="AA256" s="51"/>
      <c r="AB256" s="386"/>
      <c r="AC256" s="386"/>
      <c r="AD256" s="386"/>
      <c r="AE256" s="386"/>
      <c r="AF256" s="384"/>
      <c r="AG256" s="384"/>
      <c r="AH256" s="431"/>
      <c r="AI256" s="384"/>
    </row>
    <row r="257" spans="1:35" ht="10.5" customHeight="1">
      <c r="A257" s="60"/>
      <c r="B257" s="51"/>
      <c r="C257" s="51"/>
      <c r="D257" s="51"/>
      <c r="E257" s="552" t="s">
        <v>101</v>
      </c>
      <c r="F257" s="552"/>
      <c r="G257" s="552"/>
      <c r="H257" s="552"/>
      <c r="I257" s="552"/>
      <c r="J257" s="552"/>
      <c r="K257" s="552"/>
      <c r="L257" s="552"/>
      <c r="M257" s="552"/>
      <c r="N257" s="552"/>
      <c r="O257" s="552"/>
      <c r="P257" s="552"/>
      <c r="Q257" s="552"/>
      <c r="R257" s="552"/>
      <c r="S257" s="552"/>
      <c r="T257" s="552"/>
      <c r="U257" s="552"/>
      <c r="V257" s="51"/>
      <c r="W257" s="51"/>
      <c r="X257" s="61"/>
      <c r="Y257" s="51"/>
      <c r="Z257" s="51"/>
      <c r="AA257" s="51"/>
      <c r="AB257" s="386"/>
      <c r="AC257" s="386"/>
      <c r="AD257" s="386"/>
      <c r="AE257" s="386"/>
      <c r="AF257" s="384"/>
      <c r="AG257" s="384"/>
      <c r="AH257" s="431"/>
      <c r="AI257" s="384"/>
    </row>
    <row r="258" spans="1:35" ht="10.5" customHeight="1">
      <c r="A258" s="60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61"/>
      <c r="Y258" s="51"/>
      <c r="Z258" s="51"/>
      <c r="AA258" s="51"/>
      <c r="AB258" s="386"/>
      <c r="AC258" s="386"/>
      <c r="AD258" s="386"/>
      <c r="AE258" s="386"/>
      <c r="AF258" s="384"/>
      <c r="AG258" s="384"/>
      <c r="AH258" s="431"/>
      <c r="AI258" s="384"/>
    </row>
    <row r="259" spans="1:35" ht="10.5" customHeight="1">
      <c r="A259" s="550" t="s">
        <v>273</v>
      </c>
      <c r="B259" s="551"/>
      <c r="C259" s="551"/>
      <c r="D259" s="551"/>
      <c r="E259" s="551"/>
      <c r="F259" s="551"/>
      <c r="G259" s="551"/>
      <c r="H259" s="278">
        <f>W158</f>
        <v>101843.50692144048</v>
      </c>
      <c r="I259" s="53" t="e">
        <f>I160</f>
        <v>#NAME?</v>
      </c>
      <c r="J259" s="279"/>
      <c r="K259" s="280"/>
      <c r="L259" s="281"/>
      <c r="M259" s="281"/>
      <c r="N259" s="281"/>
      <c r="O259" s="281"/>
      <c r="P259" s="281"/>
      <c r="Q259" s="282"/>
      <c r="R259" s="283"/>
      <c r="S259" s="283"/>
      <c r="T259" s="284"/>
      <c r="U259" s="284"/>
      <c r="V259" s="2"/>
      <c r="W259" s="2"/>
      <c r="X259" s="285"/>
      <c r="Y259" s="2"/>
      <c r="Z259" s="2"/>
      <c r="AA259" s="2"/>
      <c r="AB259" s="386"/>
      <c r="AC259" s="386"/>
      <c r="AD259" s="386"/>
      <c r="AE259" s="386"/>
      <c r="AF259" s="384"/>
      <c r="AG259" s="384"/>
      <c r="AH259" s="431"/>
      <c r="AI259" s="384"/>
    </row>
    <row r="260" spans="1:35" ht="10.5" customHeight="1">
      <c r="A260" s="60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61"/>
      <c r="Y260" s="51"/>
      <c r="Z260" s="51"/>
      <c r="AA260" s="51"/>
      <c r="AB260" s="386"/>
      <c r="AC260" s="386"/>
      <c r="AD260" s="386"/>
      <c r="AE260" s="386"/>
      <c r="AF260" s="384"/>
      <c r="AG260" s="384"/>
      <c r="AH260" s="431"/>
      <c r="AI260" s="384"/>
    </row>
    <row r="261" spans="1:35" ht="10.5" customHeight="1">
      <c r="A261" s="60"/>
      <c r="B261" s="51"/>
      <c r="C261" s="51"/>
      <c r="D261" s="51"/>
      <c r="E261" s="51"/>
      <c r="F261" s="51"/>
      <c r="G261" s="51"/>
      <c r="H261" s="552" t="s">
        <v>99</v>
      </c>
      <c r="I261" s="552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61"/>
      <c r="Y261" s="51"/>
      <c r="Z261" s="51"/>
      <c r="AA261" s="51"/>
      <c r="AB261" s="386"/>
      <c r="AC261" s="386"/>
      <c r="AD261" s="386"/>
      <c r="AE261" s="386"/>
      <c r="AF261" s="384"/>
      <c r="AG261" s="384"/>
      <c r="AH261" s="431"/>
      <c r="AI261" s="384"/>
    </row>
    <row r="262" spans="1:35" ht="10.5" customHeight="1">
      <c r="A262" s="60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61"/>
      <c r="Y262" s="51"/>
      <c r="Z262" s="51"/>
      <c r="AA262" s="51"/>
      <c r="AB262" s="386"/>
      <c r="AC262" s="386"/>
      <c r="AD262" s="386"/>
      <c r="AE262" s="386"/>
      <c r="AF262" s="384"/>
      <c r="AG262" s="384"/>
      <c r="AH262" s="431"/>
      <c r="AI262" s="384"/>
    </row>
    <row r="263" spans="1:35" ht="10.5" customHeight="1">
      <c r="A263" s="60"/>
      <c r="B263" s="51"/>
      <c r="C263" s="51"/>
      <c r="D263" s="51"/>
      <c r="E263" s="552" t="s">
        <v>100</v>
      </c>
      <c r="F263" s="552"/>
      <c r="G263" s="552"/>
      <c r="H263" s="552"/>
      <c r="I263" s="552"/>
      <c r="J263" s="552"/>
      <c r="K263" s="552"/>
      <c r="L263" s="552"/>
      <c r="M263" s="552"/>
      <c r="N263" s="552"/>
      <c r="O263" s="552"/>
      <c r="P263" s="552"/>
      <c r="Q263" s="552"/>
      <c r="R263" s="552"/>
      <c r="S263" s="552"/>
      <c r="T263" s="552"/>
      <c r="U263" s="552"/>
      <c r="V263" s="51"/>
      <c r="W263" s="51"/>
      <c r="X263" s="61"/>
      <c r="Y263" s="51"/>
      <c r="Z263" s="51"/>
      <c r="AA263" s="51"/>
      <c r="AB263" s="386"/>
      <c r="AC263" s="386"/>
      <c r="AD263" s="386"/>
      <c r="AE263" s="386"/>
      <c r="AF263" s="384"/>
      <c r="AG263" s="384"/>
      <c r="AH263" s="431"/>
      <c r="AI263" s="384"/>
    </row>
    <row r="264" spans="1:35" ht="10.5" customHeight="1">
      <c r="A264" s="60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61"/>
      <c r="Y264" s="51"/>
      <c r="Z264" s="51"/>
      <c r="AA264" s="51"/>
      <c r="AB264" s="386"/>
      <c r="AC264" s="386"/>
      <c r="AD264" s="386"/>
      <c r="AE264" s="386"/>
      <c r="AF264" s="384"/>
      <c r="AG264" s="384"/>
      <c r="AH264" s="431"/>
      <c r="AI264" s="384"/>
    </row>
    <row r="265" spans="1:35" ht="10.5" customHeight="1">
      <c r="A265" s="550" t="s">
        <v>269</v>
      </c>
      <c r="B265" s="551"/>
      <c r="C265" s="551"/>
      <c r="D265" s="551"/>
      <c r="E265" s="551"/>
      <c r="F265" s="551"/>
      <c r="G265" s="551"/>
      <c r="H265" s="278">
        <f>U158</f>
        <v>385160.550985821</v>
      </c>
      <c r="I265" s="53" t="e">
        <f>I161</f>
        <v>#NAME?</v>
      </c>
      <c r="J265" s="279"/>
      <c r="K265" s="280"/>
      <c r="L265" s="281"/>
      <c r="M265" s="281"/>
      <c r="N265" s="281"/>
      <c r="O265" s="281"/>
      <c r="P265" s="281"/>
      <c r="Q265" s="282"/>
      <c r="R265" s="283"/>
      <c r="S265" s="283"/>
      <c r="T265" s="284"/>
      <c r="U265" s="284"/>
      <c r="V265" s="2"/>
      <c r="W265" s="2"/>
      <c r="X265" s="285"/>
      <c r="Y265" s="2"/>
      <c r="Z265" s="2"/>
      <c r="AA265" s="2"/>
      <c r="AB265" s="386"/>
      <c r="AC265" s="386"/>
      <c r="AD265" s="386"/>
      <c r="AE265" s="386"/>
      <c r="AF265" s="384"/>
      <c r="AG265" s="384"/>
      <c r="AH265" s="431"/>
      <c r="AI265" s="384"/>
    </row>
    <row r="266" spans="1:35" ht="10.5" customHeight="1">
      <c r="A266" s="60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61"/>
      <c r="Y266" s="51"/>
      <c r="Z266" s="51"/>
      <c r="AA266" s="51"/>
      <c r="AB266" s="386"/>
      <c r="AC266" s="386"/>
      <c r="AD266" s="386"/>
      <c r="AE266" s="386"/>
      <c r="AF266" s="384"/>
      <c r="AG266" s="384"/>
      <c r="AH266" s="431"/>
      <c r="AI266" s="384"/>
    </row>
    <row r="267" spans="1:35" ht="10.5" customHeight="1">
      <c r="A267" s="60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61"/>
      <c r="Y267" s="51"/>
      <c r="Z267" s="51"/>
      <c r="AA267" s="51"/>
      <c r="AB267" s="386"/>
      <c r="AC267" s="386"/>
      <c r="AD267" s="386"/>
      <c r="AE267" s="386"/>
      <c r="AF267" s="384"/>
      <c r="AG267" s="384"/>
      <c r="AH267" s="431"/>
      <c r="AI267" s="384"/>
    </row>
    <row r="268" spans="1:35" ht="10.5" customHeight="1" thickBot="1">
      <c r="A268" s="5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59"/>
      <c r="Y268" s="51"/>
      <c r="Z268" s="51"/>
      <c r="AA268" s="51"/>
      <c r="AB268" s="386"/>
      <c r="AC268" s="386"/>
      <c r="AD268" s="386"/>
      <c r="AE268" s="386"/>
      <c r="AF268" s="384"/>
      <c r="AG268" s="384"/>
      <c r="AH268" s="431"/>
      <c r="AI268" s="384"/>
    </row>
    <row r="269" spans="1:35" ht="10.5" customHeight="1">
      <c r="A269" s="367"/>
      <c r="B269" s="367"/>
      <c r="C269" s="372"/>
      <c r="D269" s="372"/>
      <c r="E269" s="372"/>
      <c r="F269" s="372"/>
      <c r="G269" s="55"/>
      <c r="H269" s="55"/>
      <c r="I269" s="383"/>
      <c r="J269" s="52"/>
      <c r="K269" s="52"/>
      <c r="L269" s="384"/>
      <c r="M269" s="384"/>
      <c r="N269" s="384"/>
      <c r="O269" s="384"/>
      <c r="P269" s="384"/>
      <c r="Q269" s="384"/>
      <c r="R269" s="384"/>
      <c r="S269" s="384"/>
      <c r="T269" s="385"/>
      <c r="U269" s="385"/>
      <c r="V269" s="385"/>
      <c r="W269" s="385"/>
      <c r="X269" s="386"/>
      <c r="Y269" s="386"/>
      <c r="Z269" s="386"/>
      <c r="AA269" s="386"/>
      <c r="AB269" s="386"/>
      <c r="AC269" s="386"/>
      <c r="AD269" s="386"/>
      <c r="AE269" s="386"/>
      <c r="AF269" s="384"/>
      <c r="AG269" s="384"/>
      <c r="AH269" s="431"/>
      <c r="AI269" s="384"/>
    </row>
    <row r="270" spans="1:35" ht="10.5" customHeight="1">
      <c r="A270" s="367"/>
      <c r="B270" s="367"/>
      <c r="C270" s="372"/>
      <c r="D270" s="372"/>
      <c r="E270" s="372"/>
      <c r="F270" s="372"/>
      <c r="G270" s="55"/>
      <c r="H270" s="55"/>
      <c r="I270" s="383"/>
      <c r="J270" s="52"/>
      <c r="K270" s="52"/>
      <c r="L270" s="384"/>
      <c r="M270" s="384"/>
      <c r="N270" s="384"/>
      <c r="O270" s="384"/>
      <c r="P270" s="384"/>
      <c r="Q270" s="384"/>
      <c r="R270" s="384"/>
      <c r="S270" s="384"/>
      <c r="T270" s="385"/>
      <c r="U270" s="385"/>
      <c r="V270" s="385"/>
      <c r="W270" s="385"/>
      <c r="X270" s="386"/>
      <c r="Y270" s="386"/>
      <c r="Z270" s="386"/>
      <c r="AA270" s="386"/>
      <c r="AB270" s="386"/>
      <c r="AC270" s="386"/>
      <c r="AD270" s="386"/>
      <c r="AE270" s="386"/>
      <c r="AF270" s="384"/>
      <c r="AG270" s="384"/>
      <c r="AH270" s="431"/>
      <c r="AI270" s="384"/>
    </row>
    <row r="271" spans="1:35" ht="10.5" customHeight="1">
      <c r="A271" s="367"/>
      <c r="B271" s="367"/>
      <c r="C271" s="372"/>
      <c r="D271" s="372"/>
      <c r="E271" s="372"/>
      <c r="F271" s="372"/>
      <c r="G271" s="55"/>
      <c r="H271" s="55"/>
      <c r="I271" s="383"/>
      <c r="J271" s="52"/>
      <c r="K271" s="52"/>
      <c r="L271" s="384"/>
      <c r="M271" s="384"/>
      <c r="N271" s="384"/>
      <c r="O271" s="384"/>
      <c r="P271" s="384"/>
      <c r="Q271" s="384"/>
      <c r="R271" s="384"/>
      <c r="S271" s="384"/>
      <c r="T271" s="385"/>
      <c r="U271" s="385"/>
      <c r="V271" s="385"/>
      <c r="W271" s="385"/>
      <c r="X271" s="386"/>
      <c r="Y271" s="386"/>
      <c r="Z271" s="386"/>
      <c r="AA271" s="386"/>
      <c r="AB271" s="386"/>
      <c r="AC271" s="386"/>
      <c r="AD271" s="386"/>
      <c r="AE271" s="386"/>
      <c r="AF271" s="384"/>
      <c r="AG271" s="384"/>
      <c r="AH271" s="431"/>
      <c r="AI271" s="384"/>
    </row>
    <row r="272" spans="1:35" ht="10.5" customHeight="1">
      <c r="A272" s="367"/>
      <c r="B272" s="367"/>
      <c r="C272" s="372"/>
      <c r="D272" s="372"/>
      <c r="E272" s="372"/>
      <c r="F272" s="372"/>
      <c r="G272" s="55"/>
      <c r="H272" s="55"/>
      <c r="I272" s="383"/>
      <c r="J272" s="52"/>
      <c r="K272" s="52"/>
      <c r="L272" s="384"/>
      <c r="M272" s="384"/>
      <c r="N272" s="384"/>
      <c r="O272" s="384"/>
      <c r="P272" s="384"/>
      <c r="Q272" s="384"/>
      <c r="R272" s="384"/>
      <c r="S272" s="384"/>
      <c r="T272" s="385"/>
      <c r="U272" s="385"/>
      <c r="V272" s="385"/>
      <c r="W272" s="385"/>
      <c r="X272" s="386"/>
      <c r="Y272" s="386"/>
      <c r="Z272" s="386"/>
      <c r="AA272" s="386"/>
      <c r="AB272" s="386"/>
      <c r="AC272" s="386"/>
      <c r="AD272" s="386"/>
      <c r="AE272" s="386"/>
      <c r="AF272" s="384"/>
      <c r="AG272" s="384"/>
      <c r="AH272" s="431"/>
      <c r="AI272" s="384"/>
    </row>
    <row r="273" spans="1:35" ht="10.5" customHeight="1">
      <c r="A273" s="367"/>
      <c r="B273" s="367"/>
      <c r="C273" s="372"/>
      <c r="D273" s="372"/>
      <c r="E273" s="372"/>
      <c r="F273" s="372"/>
      <c r="G273" s="55"/>
      <c r="H273" s="55"/>
      <c r="I273" s="383"/>
      <c r="J273" s="52"/>
      <c r="K273" s="52"/>
      <c r="L273" s="384"/>
      <c r="M273" s="384"/>
      <c r="N273" s="384"/>
      <c r="O273" s="384"/>
      <c r="P273" s="384"/>
      <c r="Q273" s="384"/>
      <c r="R273" s="384"/>
      <c r="S273" s="384"/>
      <c r="T273" s="385"/>
      <c r="U273" s="385"/>
      <c r="V273" s="385"/>
      <c r="W273" s="385"/>
      <c r="X273" s="386"/>
      <c r="Y273" s="386"/>
      <c r="Z273" s="386"/>
      <c r="AA273" s="386"/>
      <c r="AB273" s="386"/>
      <c r="AC273" s="386"/>
      <c r="AD273" s="386"/>
      <c r="AE273" s="386"/>
      <c r="AF273" s="384"/>
      <c r="AG273" s="384"/>
      <c r="AH273" s="431"/>
      <c r="AI273" s="384"/>
    </row>
    <row r="274" spans="1:35" ht="10.5" customHeight="1">
      <c r="A274" s="367"/>
      <c r="B274" s="367"/>
      <c r="C274" s="372"/>
      <c r="D274" s="372"/>
      <c r="E274" s="372"/>
      <c r="F274" s="372"/>
      <c r="G274" s="55"/>
      <c r="H274" s="55"/>
      <c r="I274" s="383"/>
      <c r="J274" s="52"/>
      <c r="K274" s="52"/>
      <c r="L274" s="384"/>
      <c r="M274" s="384"/>
      <c r="N274" s="384"/>
      <c r="O274" s="384"/>
      <c r="P274" s="384"/>
      <c r="Q274" s="384"/>
      <c r="R274" s="384"/>
      <c r="S274" s="384"/>
      <c r="T274" s="385"/>
      <c r="U274" s="385"/>
      <c r="V274" s="385"/>
      <c r="W274" s="385"/>
      <c r="X274" s="386"/>
      <c r="Y274" s="386"/>
      <c r="Z274" s="386"/>
      <c r="AA274" s="386"/>
      <c r="AB274" s="386"/>
      <c r="AC274" s="386"/>
      <c r="AD274" s="386"/>
      <c r="AE274" s="386"/>
      <c r="AF274" s="384"/>
      <c r="AG274" s="384"/>
      <c r="AH274" s="431"/>
      <c r="AI274" s="384"/>
    </row>
    <row r="275" spans="1:35" ht="10.5" customHeight="1">
      <c r="A275" s="367"/>
      <c r="B275" s="367"/>
      <c r="C275" s="372"/>
      <c r="D275" s="372"/>
      <c r="E275" s="372"/>
      <c r="F275" s="372"/>
      <c r="G275" s="55"/>
      <c r="H275" s="55"/>
      <c r="I275" s="383"/>
      <c r="J275" s="52"/>
      <c r="K275" s="52"/>
      <c r="L275" s="384"/>
      <c r="M275" s="384"/>
      <c r="N275" s="384"/>
      <c r="O275" s="384"/>
      <c r="P275" s="384"/>
      <c r="Q275" s="384"/>
      <c r="R275" s="384"/>
      <c r="S275" s="384"/>
      <c r="T275" s="385"/>
      <c r="U275" s="385"/>
      <c r="V275" s="385"/>
      <c r="W275" s="385"/>
      <c r="X275" s="386"/>
      <c r="Y275" s="386"/>
      <c r="Z275" s="386"/>
      <c r="AA275" s="386"/>
      <c r="AB275" s="386"/>
      <c r="AC275" s="386"/>
      <c r="AD275" s="386"/>
      <c r="AE275" s="386"/>
      <c r="AF275" s="384"/>
      <c r="AG275" s="384"/>
      <c r="AH275" s="431"/>
      <c r="AI275" s="384"/>
    </row>
    <row r="276" spans="1:35" ht="10.5" customHeight="1">
      <c r="A276" s="367"/>
      <c r="B276" s="367"/>
      <c r="C276" s="372"/>
      <c r="D276" s="372"/>
      <c r="E276" s="372"/>
      <c r="F276" s="372"/>
      <c r="G276" s="55"/>
      <c r="H276" s="55"/>
      <c r="I276" s="383"/>
      <c r="J276" s="52"/>
      <c r="K276" s="52"/>
      <c r="L276" s="384"/>
      <c r="M276" s="384"/>
      <c r="N276" s="384"/>
      <c r="O276" s="384"/>
      <c r="P276" s="384"/>
      <c r="Q276" s="384"/>
      <c r="R276" s="384"/>
      <c r="S276" s="384"/>
      <c r="T276" s="385"/>
      <c r="U276" s="385"/>
      <c r="V276" s="385"/>
      <c r="W276" s="385"/>
      <c r="X276" s="386"/>
      <c r="Y276" s="386"/>
      <c r="Z276" s="386"/>
      <c r="AA276" s="386"/>
      <c r="AB276" s="386"/>
      <c r="AC276" s="386"/>
      <c r="AD276" s="386"/>
      <c r="AE276" s="386"/>
      <c r="AF276" s="384"/>
      <c r="AG276" s="384"/>
      <c r="AH276" s="431"/>
      <c r="AI276" s="384"/>
    </row>
    <row r="277" spans="1:35" ht="10.5" customHeight="1">
      <c r="A277" s="367"/>
      <c r="B277" s="367"/>
      <c r="C277" s="372"/>
      <c r="D277" s="372"/>
      <c r="E277" s="372"/>
      <c r="F277" s="372"/>
      <c r="G277" s="55"/>
      <c r="H277" s="55"/>
      <c r="I277" s="383"/>
      <c r="J277" s="52"/>
      <c r="K277" s="52"/>
      <c r="L277" s="384"/>
      <c r="M277" s="384"/>
      <c r="N277" s="384"/>
      <c r="O277" s="384"/>
      <c r="P277" s="384"/>
      <c r="Q277" s="384"/>
      <c r="R277" s="384"/>
      <c r="S277" s="384"/>
      <c r="T277" s="385"/>
      <c r="U277" s="385"/>
      <c r="V277" s="385"/>
      <c r="W277" s="385"/>
      <c r="X277" s="386"/>
      <c r="Y277" s="386"/>
      <c r="Z277" s="386"/>
      <c r="AA277" s="386"/>
      <c r="AB277" s="386"/>
      <c r="AC277" s="386"/>
      <c r="AD277" s="386"/>
      <c r="AE277" s="386"/>
      <c r="AF277" s="384"/>
      <c r="AG277" s="384"/>
      <c r="AH277" s="431"/>
      <c r="AI277" s="384"/>
    </row>
    <row r="278" spans="1:35" ht="10.5" customHeight="1">
      <c r="A278" s="367"/>
      <c r="B278" s="367"/>
      <c r="C278" s="372"/>
      <c r="D278" s="372"/>
      <c r="E278" s="372"/>
      <c r="F278" s="372"/>
      <c r="G278" s="55"/>
      <c r="H278" s="55"/>
      <c r="I278" s="383"/>
      <c r="J278" s="52"/>
      <c r="K278" s="52"/>
      <c r="L278" s="384"/>
      <c r="M278" s="384"/>
      <c r="N278" s="384"/>
      <c r="O278" s="384"/>
      <c r="P278" s="384"/>
      <c r="Q278" s="384"/>
      <c r="R278" s="384"/>
      <c r="S278" s="384"/>
      <c r="T278" s="385"/>
      <c r="U278" s="385"/>
      <c r="V278" s="385"/>
      <c r="W278" s="385"/>
      <c r="X278" s="386"/>
      <c r="Y278" s="386"/>
      <c r="Z278" s="386"/>
      <c r="AA278" s="386"/>
      <c r="AB278" s="386"/>
      <c r="AC278" s="386"/>
      <c r="AD278" s="386"/>
      <c r="AE278" s="386"/>
      <c r="AF278" s="384"/>
      <c r="AG278" s="384"/>
      <c r="AH278" s="431"/>
      <c r="AI278" s="384"/>
    </row>
    <row r="279" spans="1:35" ht="10.5" customHeight="1">
      <c r="A279" s="367"/>
      <c r="B279" s="367"/>
      <c r="C279" s="372"/>
      <c r="D279" s="372"/>
      <c r="E279" s="372"/>
      <c r="F279" s="372"/>
      <c r="G279" s="55"/>
      <c r="H279" s="55"/>
      <c r="I279" s="383"/>
      <c r="J279" s="52"/>
      <c r="K279" s="52"/>
      <c r="L279" s="384"/>
      <c r="M279" s="384"/>
      <c r="N279" s="384"/>
      <c r="O279" s="384"/>
      <c r="P279" s="384"/>
      <c r="Q279" s="384"/>
      <c r="R279" s="384"/>
      <c r="S279" s="384"/>
      <c r="T279" s="385"/>
      <c r="U279" s="385"/>
      <c r="V279" s="385"/>
      <c r="W279" s="385"/>
      <c r="X279" s="386"/>
      <c r="Y279" s="386"/>
      <c r="Z279" s="386"/>
      <c r="AA279" s="386"/>
      <c r="AB279" s="386"/>
      <c r="AC279" s="386"/>
      <c r="AD279" s="386"/>
      <c r="AE279" s="386"/>
      <c r="AF279" s="384"/>
      <c r="AG279" s="384"/>
      <c r="AH279" s="431"/>
      <c r="AI279" s="384"/>
    </row>
    <row r="280" spans="1:35" ht="10.5" customHeight="1">
      <c r="A280" s="367"/>
      <c r="B280" s="367"/>
      <c r="C280" s="372"/>
      <c r="D280" s="372"/>
      <c r="E280" s="372"/>
      <c r="F280" s="372"/>
      <c r="G280" s="55"/>
      <c r="H280" s="55"/>
      <c r="I280" s="383"/>
      <c r="J280" s="52"/>
      <c r="K280" s="52"/>
      <c r="L280" s="384"/>
      <c r="M280" s="384"/>
      <c r="N280" s="384"/>
      <c r="O280" s="384"/>
      <c r="P280" s="384"/>
      <c r="Q280" s="384"/>
      <c r="R280" s="384"/>
      <c r="S280" s="384"/>
      <c r="T280" s="385"/>
      <c r="U280" s="385"/>
      <c r="V280" s="385"/>
      <c r="W280" s="385"/>
      <c r="X280" s="386"/>
      <c r="Y280" s="386"/>
      <c r="Z280" s="386"/>
      <c r="AA280" s="386"/>
      <c r="AB280" s="386"/>
      <c r="AC280" s="386"/>
      <c r="AD280" s="386"/>
      <c r="AE280" s="386"/>
      <c r="AF280" s="384"/>
      <c r="AG280" s="384"/>
      <c r="AH280" s="431"/>
      <c r="AI280" s="384"/>
    </row>
    <row r="281" spans="1:35" ht="10.5" customHeight="1">
      <c r="A281" s="367"/>
      <c r="B281" s="367"/>
      <c r="C281" s="372"/>
      <c r="D281" s="372"/>
      <c r="E281" s="372"/>
      <c r="F281" s="372"/>
      <c r="G281" s="55"/>
      <c r="H281" s="55"/>
      <c r="I281" s="383"/>
      <c r="J281" s="52"/>
      <c r="K281" s="52"/>
      <c r="L281" s="384"/>
      <c r="M281" s="384"/>
      <c r="N281" s="384"/>
      <c r="O281" s="384"/>
      <c r="P281" s="384"/>
      <c r="Q281" s="384"/>
      <c r="R281" s="384"/>
      <c r="S281" s="384"/>
      <c r="T281" s="385"/>
      <c r="U281" s="385"/>
      <c r="V281" s="385"/>
      <c r="W281" s="385"/>
      <c r="X281" s="386"/>
      <c r="Y281" s="386"/>
      <c r="Z281" s="386"/>
      <c r="AA281" s="386"/>
      <c r="AB281" s="386"/>
      <c r="AC281" s="386"/>
      <c r="AD281" s="386"/>
      <c r="AE281" s="386"/>
      <c r="AF281" s="384"/>
      <c r="AG281" s="384"/>
      <c r="AH281" s="431"/>
      <c r="AI281" s="384"/>
    </row>
    <row r="282" spans="1:35" ht="10.5" customHeight="1">
      <c r="A282" s="367"/>
      <c r="B282" s="367"/>
      <c r="C282" s="372"/>
      <c r="D282" s="372"/>
      <c r="E282" s="372"/>
      <c r="F282" s="372"/>
      <c r="G282" s="55"/>
      <c r="H282" s="55"/>
      <c r="I282" s="383"/>
      <c r="J282" s="52"/>
      <c r="K282" s="52"/>
      <c r="L282" s="384"/>
      <c r="M282" s="384"/>
      <c r="N282" s="384"/>
      <c r="O282" s="384"/>
      <c r="P282" s="384"/>
      <c r="Q282" s="384"/>
      <c r="R282" s="384"/>
      <c r="S282" s="384"/>
      <c r="T282" s="385"/>
      <c r="U282" s="385"/>
      <c r="V282" s="385"/>
      <c r="W282" s="385"/>
      <c r="X282" s="386"/>
      <c r="Y282" s="386"/>
      <c r="Z282" s="386"/>
      <c r="AA282" s="386"/>
      <c r="AB282" s="386"/>
      <c r="AC282" s="386"/>
      <c r="AD282" s="386"/>
      <c r="AE282" s="386"/>
      <c r="AF282" s="384"/>
      <c r="AG282" s="384"/>
      <c r="AH282" s="431"/>
      <c r="AI282" s="384"/>
    </row>
    <row r="283" spans="1:35" ht="10.5" customHeight="1">
      <c r="A283" s="367"/>
      <c r="B283" s="367"/>
      <c r="C283" s="372"/>
      <c r="D283" s="372"/>
      <c r="E283" s="372"/>
      <c r="F283" s="372"/>
      <c r="G283" s="55"/>
      <c r="H283" s="55"/>
      <c r="I283" s="383"/>
      <c r="J283" s="52"/>
      <c r="K283" s="52"/>
      <c r="L283" s="384"/>
      <c r="M283" s="384"/>
      <c r="N283" s="384"/>
      <c r="O283" s="384"/>
      <c r="P283" s="384"/>
      <c r="Q283" s="384"/>
      <c r="R283" s="384"/>
      <c r="S283" s="384"/>
      <c r="T283" s="385"/>
      <c r="U283" s="385"/>
      <c r="V283" s="385"/>
      <c r="W283" s="385"/>
      <c r="X283" s="386"/>
      <c r="Y283" s="386"/>
      <c r="Z283" s="386"/>
      <c r="AA283" s="386"/>
      <c r="AB283" s="386"/>
      <c r="AC283" s="386"/>
      <c r="AD283" s="386"/>
      <c r="AE283" s="386"/>
      <c r="AF283" s="384"/>
      <c r="AG283" s="384"/>
      <c r="AH283" s="431"/>
      <c r="AI283" s="384"/>
    </row>
    <row r="284" spans="1:35" ht="10.5" customHeight="1">
      <c r="A284" s="367"/>
      <c r="B284" s="367"/>
      <c r="C284" s="372"/>
      <c r="D284" s="372"/>
      <c r="E284" s="372"/>
      <c r="F284" s="372"/>
      <c r="G284" s="55"/>
      <c r="H284" s="55"/>
      <c r="I284" s="383"/>
      <c r="J284" s="52"/>
      <c r="K284" s="52"/>
      <c r="L284" s="384"/>
      <c r="M284" s="384"/>
      <c r="N284" s="384"/>
      <c r="O284" s="384"/>
      <c r="P284" s="384"/>
      <c r="Q284" s="384"/>
      <c r="R284" s="384"/>
      <c r="S284" s="384"/>
      <c r="T284" s="385"/>
      <c r="U284" s="385"/>
      <c r="V284" s="385"/>
      <c r="W284" s="385"/>
      <c r="X284" s="386"/>
      <c r="Y284" s="386"/>
      <c r="Z284" s="386"/>
      <c r="AA284" s="386"/>
      <c r="AB284" s="386"/>
      <c r="AC284" s="386"/>
      <c r="AD284" s="386"/>
      <c r="AE284" s="386"/>
      <c r="AF284" s="384"/>
      <c r="AG284" s="384"/>
      <c r="AH284" s="431"/>
      <c r="AI284" s="384"/>
    </row>
    <row r="285" spans="1:27" ht="12.75">
      <c r="A285" s="367"/>
      <c r="B285" s="367"/>
      <c r="C285" s="372"/>
      <c r="D285" s="372"/>
      <c r="E285" s="372"/>
      <c r="F285" s="372"/>
      <c r="G285" s="55"/>
      <c r="H285" s="55"/>
      <c r="I285" s="383"/>
      <c r="J285" s="52"/>
      <c r="K285" s="52"/>
      <c r="L285" s="384"/>
      <c r="M285" s="384"/>
      <c r="N285" s="384"/>
      <c r="O285" s="384"/>
      <c r="P285" s="384"/>
      <c r="Q285" s="384"/>
      <c r="R285" s="384"/>
      <c r="S285" s="384"/>
      <c r="T285" s="385"/>
      <c r="U285" s="385"/>
      <c r="V285" s="385"/>
      <c r="W285" s="385"/>
      <c r="X285" s="386"/>
      <c r="Y285" s="386"/>
      <c r="Z285" s="386"/>
      <c r="AA285" s="386"/>
    </row>
  </sheetData>
  <sheetProtection/>
  <mergeCells count="241">
    <mergeCell ref="C146:I146"/>
    <mergeCell ref="C144:I144"/>
    <mergeCell ref="C126:I126"/>
    <mergeCell ref="C131:I131"/>
    <mergeCell ref="C138:I138"/>
    <mergeCell ref="C142:I142"/>
    <mergeCell ref="C139:I139"/>
    <mergeCell ref="C140:I140"/>
    <mergeCell ref="C124:I124"/>
    <mergeCell ref="C123:I123"/>
    <mergeCell ref="C133:I133"/>
    <mergeCell ref="C134:I134"/>
    <mergeCell ref="C129:I129"/>
    <mergeCell ref="C135:I135"/>
    <mergeCell ref="B132:I132"/>
    <mergeCell ref="C127:I127"/>
    <mergeCell ref="C122:I122"/>
    <mergeCell ref="C130:I130"/>
    <mergeCell ref="C92:I92"/>
    <mergeCell ref="C107:I107"/>
    <mergeCell ref="C114:I114"/>
    <mergeCell ref="C128:I128"/>
    <mergeCell ref="C118:I118"/>
    <mergeCell ref="C125:I125"/>
    <mergeCell ref="C109:I109"/>
    <mergeCell ref="C113:I113"/>
    <mergeCell ref="C121:I121"/>
    <mergeCell ref="C120:I120"/>
    <mergeCell ref="C64:I64"/>
    <mergeCell ref="C115:I115"/>
    <mergeCell ref="C106:I106"/>
    <mergeCell ref="C99:I99"/>
    <mergeCell ref="C98:I98"/>
    <mergeCell ref="C119:I119"/>
    <mergeCell ref="C78:I78"/>
    <mergeCell ref="C103:I103"/>
    <mergeCell ref="C117:I117"/>
    <mergeCell ref="C116:I116"/>
    <mergeCell ref="C73:I73"/>
    <mergeCell ref="C74:I74"/>
    <mergeCell ref="C89:I89"/>
    <mergeCell ref="C91:I91"/>
    <mergeCell ref="C84:I84"/>
    <mergeCell ref="C112:I112"/>
    <mergeCell ref="C105:I105"/>
    <mergeCell ref="C104:I104"/>
    <mergeCell ref="E19:F19"/>
    <mergeCell ref="C97:I97"/>
    <mergeCell ref="C93:I93"/>
    <mergeCell ref="C94:I94"/>
    <mergeCell ref="C80:I80"/>
    <mergeCell ref="C82:I82"/>
    <mergeCell ref="C43:I43"/>
    <mergeCell ref="B44:I44"/>
    <mergeCell ref="C38:I38"/>
    <mergeCell ref="B29:I29"/>
    <mergeCell ref="B83:I83"/>
    <mergeCell ref="C85:I85"/>
    <mergeCell ref="C96:I96"/>
    <mergeCell ref="C32:I32"/>
    <mergeCell ref="C42:I42"/>
    <mergeCell ref="B57:I57"/>
    <mergeCell ref="C39:I39"/>
    <mergeCell ref="C55:I55"/>
    <mergeCell ref="C47:I47"/>
    <mergeCell ref="C28:I28"/>
    <mergeCell ref="B51:I51"/>
    <mergeCell ref="B34:I34"/>
    <mergeCell ref="B30:I30"/>
    <mergeCell ref="C31:I31"/>
    <mergeCell ref="B40:I40"/>
    <mergeCell ref="B41:I41"/>
    <mergeCell ref="C37:I37"/>
    <mergeCell ref="AH220:AI220"/>
    <mergeCell ref="AF219:AG219"/>
    <mergeCell ref="G202:I202"/>
    <mergeCell ref="G203:I203"/>
    <mergeCell ref="AH205:AI205"/>
    <mergeCell ref="K202:W202"/>
    <mergeCell ref="AH219:AI219"/>
    <mergeCell ref="I219:J219"/>
    <mergeCell ref="B211:G211"/>
    <mergeCell ref="B218:D220"/>
    <mergeCell ref="AF220:AG220"/>
    <mergeCell ref="K198:K199"/>
    <mergeCell ref="X198:X199"/>
    <mergeCell ref="T199:W200"/>
    <mergeCell ref="T192:W193"/>
    <mergeCell ref="C137:I137"/>
    <mergeCell ref="C154:I154"/>
    <mergeCell ref="T197:W198"/>
    <mergeCell ref="C145:I145"/>
    <mergeCell ref="X193:X194"/>
    <mergeCell ref="C152:I152"/>
    <mergeCell ref="C151:I151"/>
    <mergeCell ref="A14:X14"/>
    <mergeCell ref="K24:T24"/>
    <mergeCell ref="A17:X17"/>
    <mergeCell ref="A23:X23"/>
    <mergeCell ref="C25:I25"/>
    <mergeCell ref="B110:I110"/>
    <mergeCell ref="C35:I35"/>
    <mergeCell ref="C27:I27"/>
    <mergeCell ref="W12:X12"/>
    <mergeCell ref="T18:V18"/>
    <mergeCell ref="T19:V19"/>
    <mergeCell ref="E20:T20"/>
    <mergeCell ref="E18:G18"/>
    <mergeCell ref="B50:I50"/>
    <mergeCell ref="C33:I33"/>
    <mergeCell ref="C36:I36"/>
    <mergeCell ref="B26:I26"/>
    <mergeCell ref="A1:X2"/>
    <mergeCell ref="K4:X4"/>
    <mergeCell ref="K3:X3"/>
    <mergeCell ref="A3:F3"/>
    <mergeCell ref="W5:X5"/>
    <mergeCell ref="W19:X19"/>
    <mergeCell ref="A8:D8"/>
    <mergeCell ref="A7:X7"/>
    <mergeCell ref="A4:G4"/>
    <mergeCell ref="W9:X9"/>
    <mergeCell ref="C101:I101"/>
    <mergeCell ref="C90:I90"/>
    <mergeCell ref="C56:I56"/>
    <mergeCell ref="C63:I63"/>
    <mergeCell ref="C59:I59"/>
    <mergeCell ref="C77:I77"/>
    <mergeCell ref="C75:I75"/>
    <mergeCell ref="B76:I76"/>
    <mergeCell ref="C67:I67"/>
    <mergeCell ref="C100:I100"/>
    <mergeCell ref="C108:I108"/>
    <mergeCell ref="C102:I102"/>
    <mergeCell ref="T190:W190"/>
    <mergeCell ref="A190:F191"/>
    <mergeCell ref="C157:I157"/>
    <mergeCell ref="C153:I153"/>
    <mergeCell ref="C147:I147"/>
    <mergeCell ref="B155:I155"/>
    <mergeCell ref="C156:I156"/>
    <mergeCell ref="C148:I148"/>
    <mergeCell ref="C149:I149"/>
    <mergeCell ref="C150:I150"/>
    <mergeCell ref="K220:T220"/>
    <mergeCell ref="T194:W195"/>
    <mergeCell ref="W220:X220"/>
    <mergeCell ref="U220:V220"/>
    <mergeCell ref="K203:W203"/>
    <mergeCell ref="K193:K194"/>
    <mergeCell ref="U219:V219"/>
    <mergeCell ref="F220:G220"/>
    <mergeCell ref="K219:T219"/>
    <mergeCell ref="B209:G209"/>
    <mergeCell ref="B208:G208"/>
    <mergeCell ref="B214:G214"/>
    <mergeCell ref="B215:G215"/>
    <mergeCell ref="B213:G213"/>
    <mergeCell ref="F219:G219"/>
    <mergeCell ref="I220:J220"/>
    <mergeCell ref="B210:G210"/>
    <mergeCell ref="C61:I61"/>
    <mergeCell ref="C60:I60"/>
    <mergeCell ref="A171:X171"/>
    <mergeCell ref="C70:I70"/>
    <mergeCell ref="C66:I66"/>
    <mergeCell ref="C62:I62"/>
    <mergeCell ref="C136:I136"/>
    <mergeCell ref="C79:I79"/>
    <mergeCell ref="C111:I111"/>
    <mergeCell ref="C95:I95"/>
    <mergeCell ref="B205:G206"/>
    <mergeCell ref="W219:X219"/>
    <mergeCell ref="A195:F195"/>
    <mergeCell ref="H205:H206"/>
    <mergeCell ref="A205:A206"/>
    <mergeCell ref="B207:G207"/>
    <mergeCell ref="B212:G212"/>
    <mergeCell ref="B217:G217"/>
    <mergeCell ref="C45:I45"/>
    <mergeCell ref="C46:I46"/>
    <mergeCell ref="C48:I48"/>
    <mergeCell ref="C49:I49"/>
    <mergeCell ref="C58:I58"/>
    <mergeCell ref="C52:I52"/>
    <mergeCell ref="C53:I53"/>
    <mergeCell ref="K223:T223"/>
    <mergeCell ref="C69:I69"/>
    <mergeCell ref="A204:X204"/>
    <mergeCell ref="B141:I141"/>
    <mergeCell ref="C143:I143"/>
    <mergeCell ref="A181:X181"/>
    <mergeCell ref="A175:X175"/>
    <mergeCell ref="U223:V223"/>
    <mergeCell ref="A222:X222"/>
    <mergeCell ref="C81:I81"/>
    <mergeCell ref="C86:I86"/>
    <mergeCell ref="C88:I88"/>
    <mergeCell ref="C87:I87"/>
    <mergeCell ref="C54:I54"/>
    <mergeCell ref="C71:I71"/>
    <mergeCell ref="C68:I68"/>
    <mergeCell ref="B72:I72"/>
    <mergeCell ref="A265:G265"/>
    <mergeCell ref="E263:U263"/>
    <mergeCell ref="H261:I261"/>
    <mergeCell ref="A259:G259"/>
    <mergeCell ref="E257:U257"/>
    <mergeCell ref="H255:I255"/>
    <mergeCell ref="A253:G253"/>
    <mergeCell ref="E251:U251"/>
    <mergeCell ref="A237:F237"/>
    <mergeCell ref="A236:F236"/>
    <mergeCell ref="A223:A224"/>
    <mergeCell ref="AF205:AG205"/>
    <mergeCell ref="W205:X205"/>
    <mergeCell ref="U205:V205"/>
    <mergeCell ref="K205:T205"/>
    <mergeCell ref="I205:J205"/>
    <mergeCell ref="B223:G224"/>
    <mergeCell ref="H223:H224"/>
    <mergeCell ref="I223:J223"/>
    <mergeCell ref="A169:X169"/>
    <mergeCell ref="G189:H189"/>
    <mergeCell ref="A188:X188"/>
    <mergeCell ref="A185:X185"/>
    <mergeCell ref="A184:X184"/>
    <mergeCell ref="A183:X183"/>
    <mergeCell ref="A182:X182"/>
    <mergeCell ref="A186:X186"/>
    <mergeCell ref="A173:X173"/>
    <mergeCell ref="A160:F160"/>
    <mergeCell ref="A161:F161"/>
    <mergeCell ref="A162:F162"/>
    <mergeCell ref="G162:H162"/>
    <mergeCell ref="G161:H161"/>
    <mergeCell ref="G160:H160"/>
  </mergeCells>
  <conditionalFormatting sqref="J207:J217 T207:T217 V207:V217 X207:AA217">
    <cfRule type="cellIs" priority="43" dxfId="0" operator="equal" stopIfTrue="1">
      <formula>0</formula>
    </cfRule>
  </conditionalFormatting>
  <printOptions/>
  <pageMargins left="0.23622047244094488" right="0.23622047244094488" top="0.7480314960629921" bottom="0.7480314960629921" header="0.31496062992125984" footer="0.31496062992125984"/>
  <pageSetup fitToHeight="0" fitToWidth="1" horizontalDpi="1200" verticalDpi="12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>
    <pageSetUpPr fitToPage="1"/>
  </sheetPr>
  <dimension ref="A1:AJ285"/>
  <sheetViews>
    <sheetView zoomScale="130" zoomScaleNormal="130" zoomScalePageLayoutView="0" workbookViewId="0" topLeftCell="F19">
      <selection activeCell="U32" sqref="U32"/>
    </sheetView>
  </sheetViews>
  <sheetFormatPr defaultColWidth="11.421875" defaultRowHeight="12.75"/>
  <cols>
    <col min="1" max="1" width="6.7109375" style="387" customWidth="1"/>
    <col min="2" max="2" width="12.421875" style="387" bestFit="1" customWidth="1"/>
    <col min="3" max="3" width="9.140625" style="388" customWidth="1"/>
    <col min="4" max="4" width="9.421875" style="388" customWidth="1"/>
    <col min="5" max="7" width="9.140625" style="388" customWidth="1"/>
    <col min="8" max="8" width="8.140625" style="388" customWidth="1"/>
    <col min="9" max="9" width="7.421875" style="388" customWidth="1"/>
    <col min="10" max="10" width="8.7109375" style="389" bestFit="1" customWidth="1"/>
    <col min="11" max="11" width="5.8515625" style="390" bestFit="1" customWidth="1"/>
    <col min="12" max="16" width="7.57421875" style="391" hidden="1" customWidth="1"/>
    <col min="17" max="17" width="7.57421875" style="392" hidden="1" customWidth="1"/>
    <col min="18" max="19" width="7.57421875" style="393" hidden="1" customWidth="1"/>
    <col min="20" max="20" width="9.140625" style="388" customWidth="1"/>
    <col min="21" max="21" width="13.421875" style="388" bestFit="1" customWidth="1"/>
    <col min="22" max="22" width="9.140625" style="388" customWidth="1"/>
    <col min="23" max="23" width="13.28125" style="388" customWidth="1"/>
    <col min="24" max="27" width="13.140625" style="388" customWidth="1"/>
    <col min="28" max="28" width="11.28125" style="403" customWidth="1"/>
    <col min="29" max="29" width="11.7109375" style="403" customWidth="1"/>
    <col min="30" max="31" width="9.140625" style="403" customWidth="1"/>
    <col min="32" max="32" width="9.140625" style="404" customWidth="1"/>
    <col min="33" max="33" width="9.140625" style="388" customWidth="1"/>
    <col min="34" max="34" width="12.7109375" style="404" bestFit="1" customWidth="1"/>
    <col min="35" max="16384" width="11.421875" style="388" customWidth="1"/>
  </cols>
  <sheetData>
    <row r="1" spans="1:27" ht="12.75">
      <c r="A1" s="642"/>
      <c r="B1" s="643"/>
      <c r="C1" s="643"/>
      <c r="D1" s="643"/>
      <c r="E1" s="643"/>
      <c r="F1" s="643"/>
      <c r="G1" s="643"/>
      <c r="H1" s="643"/>
      <c r="I1" s="643"/>
      <c r="J1" s="643"/>
      <c r="K1" s="643"/>
      <c r="L1" s="643"/>
      <c r="M1" s="643"/>
      <c r="N1" s="643"/>
      <c r="O1" s="643"/>
      <c r="P1" s="643"/>
      <c r="Q1" s="643"/>
      <c r="R1" s="643"/>
      <c r="S1" s="643"/>
      <c r="T1" s="643"/>
      <c r="U1" s="643"/>
      <c r="V1" s="643"/>
      <c r="W1" s="643"/>
      <c r="X1" s="644"/>
      <c r="Y1" s="401"/>
      <c r="Z1" s="401"/>
      <c r="AA1" s="401"/>
    </row>
    <row r="2" spans="1:27" ht="12.75">
      <c r="A2" s="645"/>
      <c r="B2" s="646"/>
      <c r="C2" s="646"/>
      <c r="D2" s="646"/>
      <c r="E2" s="646"/>
      <c r="F2" s="646"/>
      <c r="G2" s="646"/>
      <c r="H2" s="646"/>
      <c r="I2" s="646"/>
      <c r="J2" s="646"/>
      <c r="K2" s="646"/>
      <c r="L2" s="646"/>
      <c r="M2" s="646"/>
      <c r="N2" s="646"/>
      <c r="O2" s="646"/>
      <c r="P2" s="646"/>
      <c r="Q2" s="646"/>
      <c r="R2" s="646"/>
      <c r="S2" s="646"/>
      <c r="T2" s="646"/>
      <c r="U2" s="646"/>
      <c r="V2" s="646"/>
      <c r="W2" s="646"/>
      <c r="X2" s="647"/>
      <c r="Y2" s="401"/>
      <c r="Z2" s="401"/>
      <c r="AA2" s="401"/>
    </row>
    <row r="3" spans="1:27" ht="12.75">
      <c r="A3" s="525" t="s">
        <v>42</v>
      </c>
      <c r="B3" s="526"/>
      <c r="C3" s="526"/>
      <c r="D3" s="526"/>
      <c r="E3" s="526"/>
      <c r="F3" s="526"/>
      <c r="G3" s="1"/>
      <c r="H3" s="40"/>
      <c r="I3" s="7"/>
      <c r="J3" s="10"/>
      <c r="K3" s="526" t="s">
        <v>41</v>
      </c>
      <c r="L3" s="526"/>
      <c r="M3" s="526"/>
      <c r="N3" s="526"/>
      <c r="O3" s="526"/>
      <c r="P3" s="526"/>
      <c r="Q3" s="526"/>
      <c r="R3" s="526"/>
      <c r="S3" s="526"/>
      <c r="T3" s="526"/>
      <c r="U3" s="526"/>
      <c r="V3" s="526"/>
      <c r="W3" s="526"/>
      <c r="X3" s="650"/>
      <c r="Y3" s="402"/>
      <c r="Z3" s="402"/>
      <c r="AA3" s="402"/>
    </row>
    <row r="4" spans="1:33" ht="12.75">
      <c r="A4" s="658" t="s">
        <v>73</v>
      </c>
      <c r="B4" s="648"/>
      <c r="C4" s="648"/>
      <c r="D4" s="648"/>
      <c r="E4" s="648"/>
      <c r="F4" s="648"/>
      <c r="G4" s="648"/>
      <c r="H4" s="40"/>
      <c r="I4" s="7"/>
      <c r="J4" s="10"/>
      <c r="K4" s="648" t="s">
        <v>56</v>
      </c>
      <c r="L4" s="648"/>
      <c r="M4" s="648"/>
      <c r="N4" s="648"/>
      <c r="O4" s="648"/>
      <c r="P4" s="648"/>
      <c r="Q4" s="648"/>
      <c r="R4" s="648"/>
      <c r="S4" s="648"/>
      <c r="T4" s="648"/>
      <c r="U4" s="648"/>
      <c r="V4" s="648"/>
      <c r="W4" s="648"/>
      <c r="X4" s="649"/>
      <c r="Y4" s="204"/>
      <c r="Z4" s="204"/>
      <c r="AA4" s="204"/>
      <c r="AF4" s="405"/>
      <c r="AG4" s="406"/>
    </row>
    <row r="5" spans="1:33" ht="13.5" thickBot="1">
      <c r="A5" s="44"/>
      <c r="B5" s="67"/>
      <c r="C5" s="15"/>
      <c r="D5" s="16" t="s">
        <v>13</v>
      </c>
      <c r="E5" s="41" t="s">
        <v>262</v>
      </c>
      <c r="F5" s="17"/>
      <c r="G5" s="16"/>
      <c r="H5" s="41"/>
      <c r="I5" s="18"/>
      <c r="J5" s="19"/>
      <c r="K5" s="20"/>
      <c r="L5" s="21"/>
      <c r="M5" s="21"/>
      <c r="N5" s="21"/>
      <c r="O5" s="21"/>
      <c r="P5" s="22"/>
      <c r="Q5" s="17"/>
      <c r="R5" s="23"/>
      <c r="S5" s="16" t="s">
        <v>21</v>
      </c>
      <c r="T5" s="18"/>
      <c r="U5" s="18"/>
      <c r="V5" s="16" t="s">
        <v>40</v>
      </c>
      <c r="W5" s="651" t="s">
        <v>263</v>
      </c>
      <c r="X5" s="652"/>
      <c r="Y5" s="449"/>
      <c r="Z5" s="449"/>
      <c r="AA5" s="449"/>
      <c r="AF5" s="405"/>
      <c r="AG5" s="406"/>
    </row>
    <row r="6" spans="1:33" ht="4.5" customHeight="1" thickBot="1">
      <c r="A6" s="46"/>
      <c r="B6" s="45"/>
      <c r="C6" s="7"/>
      <c r="D6" s="1"/>
      <c r="E6" s="30"/>
      <c r="F6" s="7"/>
      <c r="G6" s="7"/>
      <c r="H6" s="7"/>
      <c r="I6" s="7"/>
      <c r="J6" s="10"/>
      <c r="K6" s="11"/>
      <c r="L6" s="31"/>
      <c r="M6" s="31"/>
      <c r="N6" s="31"/>
      <c r="O6" s="31"/>
      <c r="P6" s="31"/>
      <c r="Q6" s="32"/>
      <c r="R6" s="33"/>
      <c r="S6" s="34"/>
      <c r="T6" s="7"/>
      <c r="U6" s="7"/>
      <c r="V6" s="35"/>
      <c r="W6" s="12"/>
      <c r="X6" s="62"/>
      <c r="Y6" s="449"/>
      <c r="Z6" s="449"/>
      <c r="AA6" s="449"/>
      <c r="AF6" s="405"/>
      <c r="AG6" s="406"/>
    </row>
    <row r="7" spans="1:33" ht="12.75">
      <c r="A7" s="655" t="s">
        <v>35</v>
      </c>
      <c r="B7" s="656"/>
      <c r="C7" s="656"/>
      <c r="D7" s="656"/>
      <c r="E7" s="656"/>
      <c r="F7" s="656"/>
      <c r="G7" s="656"/>
      <c r="H7" s="656"/>
      <c r="I7" s="656"/>
      <c r="J7" s="656"/>
      <c r="K7" s="656"/>
      <c r="L7" s="656"/>
      <c r="M7" s="656"/>
      <c r="N7" s="656"/>
      <c r="O7" s="656"/>
      <c r="P7" s="656"/>
      <c r="Q7" s="656"/>
      <c r="R7" s="656"/>
      <c r="S7" s="656"/>
      <c r="T7" s="656"/>
      <c r="U7" s="656"/>
      <c r="V7" s="656"/>
      <c r="W7" s="656"/>
      <c r="X7" s="657"/>
      <c r="Y7" s="450"/>
      <c r="Z7" s="450"/>
      <c r="AA7" s="450"/>
      <c r="AB7" s="63"/>
      <c r="AC7" s="63"/>
      <c r="AD7" s="63"/>
      <c r="AE7" s="63"/>
      <c r="AF7" s="405"/>
      <c r="AG7" s="406"/>
    </row>
    <row r="8" spans="1:33" ht="12.75">
      <c r="A8" s="550" t="s">
        <v>17</v>
      </c>
      <c r="B8" s="551"/>
      <c r="C8" s="551"/>
      <c r="D8" s="551"/>
      <c r="E8" s="2" t="s">
        <v>18</v>
      </c>
      <c r="F8" s="2"/>
      <c r="G8" s="2"/>
      <c r="H8" s="2"/>
      <c r="I8" s="2"/>
      <c r="J8" s="3"/>
      <c r="K8" s="4"/>
      <c r="L8" s="3"/>
      <c r="M8" s="3"/>
      <c r="N8" s="3"/>
      <c r="O8" s="3"/>
      <c r="P8" s="5"/>
      <c r="Q8" s="2"/>
      <c r="R8" s="6"/>
      <c r="S8" s="2"/>
      <c r="T8" s="2"/>
      <c r="U8" s="7"/>
      <c r="V8" s="1" t="s">
        <v>27</v>
      </c>
      <c r="W8" s="2" t="s">
        <v>24</v>
      </c>
      <c r="X8" s="8"/>
      <c r="Y8" s="7"/>
      <c r="Z8" s="7"/>
      <c r="AA8" s="7"/>
      <c r="AB8" s="63"/>
      <c r="AC8" s="63"/>
      <c r="AD8" s="63"/>
      <c r="AE8" s="63"/>
      <c r="AF8" s="405"/>
      <c r="AG8" s="406"/>
    </row>
    <row r="9" spans="1:33" ht="12.75">
      <c r="A9" s="46"/>
      <c r="B9" s="45"/>
      <c r="C9" s="9"/>
      <c r="D9" s="1" t="s">
        <v>19</v>
      </c>
      <c r="E9" s="2" t="s">
        <v>20</v>
      </c>
      <c r="F9" s="2"/>
      <c r="G9" s="2"/>
      <c r="H9" s="7"/>
      <c r="I9" s="7"/>
      <c r="J9" s="10"/>
      <c r="K9" s="11"/>
      <c r="L9" s="3"/>
      <c r="M9" s="3"/>
      <c r="N9" s="3"/>
      <c r="O9" s="3"/>
      <c r="P9" s="5"/>
      <c r="Q9" s="2"/>
      <c r="R9" s="6"/>
      <c r="S9" s="1" t="s">
        <v>21</v>
      </c>
      <c r="T9" s="7"/>
      <c r="U9" s="7"/>
      <c r="V9" s="1" t="s">
        <v>21</v>
      </c>
      <c r="W9" s="653" t="s">
        <v>28</v>
      </c>
      <c r="X9" s="654"/>
      <c r="Y9" s="449"/>
      <c r="Z9" s="449"/>
      <c r="AA9" s="449"/>
      <c r="AB9" s="63"/>
      <c r="AC9" s="63"/>
      <c r="AD9" s="63"/>
      <c r="AE9" s="63"/>
      <c r="AF9" s="405"/>
      <c r="AG9" s="406"/>
    </row>
    <row r="10" spans="1:33" ht="12.75">
      <c r="A10" s="46"/>
      <c r="B10" s="45"/>
      <c r="C10" s="13"/>
      <c r="D10" s="14" t="s">
        <v>22</v>
      </c>
      <c r="E10" s="2" t="s">
        <v>23</v>
      </c>
      <c r="F10" s="2"/>
      <c r="G10" s="2"/>
      <c r="H10" s="2"/>
      <c r="I10" s="2"/>
      <c r="J10" s="3"/>
      <c r="K10" s="4"/>
      <c r="L10" s="3"/>
      <c r="M10" s="3"/>
      <c r="N10" s="3"/>
      <c r="O10" s="3"/>
      <c r="P10" s="5"/>
      <c r="Q10" s="2"/>
      <c r="R10" s="6"/>
      <c r="S10" s="2"/>
      <c r="T10" s="2"/>
      <c r="U10" s="2"/>
      <c r="V10" s="2"/>
      <c r="W10" s="7"/>
      <c r="X10" s="8"/>
      <c r="Y10" s="7"/>
      <c r="Z10" s="7"/>
      <c r="AA10" s="7"/>
      <c r="AB10" s="63"/>
      <c r="AC10" s="63"/>
      <c r="AD10" s="63"/>
      <c r="AE10" s="63"/>
      <c r="AF10" s="405"/>
      <c r="AG10" s="406"/>
    </row>
    <row r="11" spans="1:33" ht="12.75">
      <c r="A11" s="46"/>
      <c r="B11" s="45"/>
      <c r="C11" s="13"/>
      <c r="D11" s="14"/>
      <c r="E11" s="2" t="s">
        <v>25</v>
      </c>
      <c r="F11" s="2"/>
      <c r="G11" s="2"/>
      <c r="H11" s="2"/>
      <c r="I11" s="2"/>
      <c r="J11" s="3"/>
      <c r="K11" s="4"/>
      <c r="L11" s="3"/>
      <c r="M11" s="3"/>
      <c r="N11" s="3"/>
      <c r="O11" s="3"/>
      <c r="P11" s="5"/>
      <c r="Q11" s="2"/>
      <c r="R11" s="6"/>
      <c r="S11" s="2"/>
      <c r="T11" s="2"/>
      <c r="U11" s="2"/>
      <c r="V11" s="2"/>
      <c r="W11" s="7"/>
      <c r="X11" s="8"/>
      <c r="Y11" s="7"/>
      <c r="Z11" s="7"/>
      <c r="AA11" s="7"/>
      <c r="AB11" s="63"/>
      <c r="AC11" s="63"/>
      <c r="AD11" s="63"/>
      <c r="AE11" s="63"/>
      <c r="AF11" s="405"/>
      <c r="AG11" s="406"/>
    </row>
    <row r="12" spans="1:33" ht="13.5" thickBot="1">
      <c r="A12" s="44"/>
      <c r="B12" s="67"/>
      <c r="C12" s="15"/>
      <c r="D12" s="16" t="s">
        <v>26</v>
      </c>
      <c r="E12" s="17" t="s">
        <v>96</v>
      </c>
      <c r="F12" s="17"/>
      <c r="G12" s="17"/>
      <c r="H12" s="18"/>
      <c r="I12" s="18"/>
      <c r="J12" s="19"/>
      <c r="K12" s="20"/>
      <c r="L12" s="21"/>
      <c r="M12" s="21"/>
      <c r="N12" s="21"/>
      <c r="O12" s="21"/>
      <c r="P12" s="22"/>
      <c r="Q12" s="17"/>
      <c r="R12" s="23"/>
      <c r="S12" s="16" t="s">
        <v>21</v>
      </c>
      <c r="T12" s="18"/>
      <c r="U12" s="18"/>
      <c r="V12" s="16" t="s">
        <v>97</v>
      </c>
      <c r="W12" s="651" t="s">
        <v>95</v>
      </c>
      <c r="X12" s="652"/>
      <c r="Y12" s="449"/>
      <c r="Z12" s="449"/>
      <c r="AA12" s="449"/>
      <c r="AB12" s="63"/>
      <c r="AC12" s="63"/>
      <c r="AD12" s="63"/>
      <c r="AE12" s="63"/>
      <c r="AF12" s="405"/>
      <c r="AG12" s="406"/>
    </row>
    <row r="13" spans="1:33" ht="4.5" customHeight="1" thickBot="1">
      <c r="A13" s="46"/>
      <c r="B13" s="45"/>
      <c r="C13" s="7"/>
      <c r="D13" s="1"/>
      <c r="E13" s="30"/>
      <c r="F13" s="7"/>
      <c r="G13" s="7"/>
      <c r="H13" s="7"/>
      <c r="I13" s="7"/>
      <c r="J13" s="10"/>
      <c r="K13" s="11"/>
      <c r="L13" s="31"/>
      <c r="M13" s="31"/>
      <c r="N13" s="31"/>
      <c r="O13" s="31"/>
      <c r="P13" s="31"/>
      <c r="Q13" s="32"/>
      <c r="R13" s="33"/>
      <c r="S13" s="34"/>
      <c r="T13" s="7"/>
      <c r="U13" s="7"/>
      <c r="V13" s="35"/>
      <c r="W13" s="12"/>
      <c r="X13" s="62"/>
      <c r="Y13" s="449"/>
      <c r="Z13" s="449"/>
      <c r="AA13" s="449"/>
      <c r="AB13" s="63"/>
      <c r="AC13" s="63"/>
      <c r="AD13" s="63"/>
      <c r="AE13" s="63"/>
      <c r="AF13" s="405"/>
      <c r="AG13" s="406"/>
    </row>
    <row r="14" spans="1:33" ht="12.75">
      <c r="A14" s="655" t="s">
        <v>36</v>
      </c>
      <c r="B14" s="656"/>
      <c r="C14" s="656"/>
      <c r="D14" s="656"/>
      <c r="E14" s="656"/>
      <c r="F14" s="656"/>
      <c r="G14" s="656"/>
      <c r="H14" s="656"/>
      <c r="I14" s="656"/>
      <c r="J14" s="656"/>
      <c r="K14" s="656"/>
      <c r="L14" s="656"/>
      <c r="M14" s="656"/>
      <c r="N14" s="656"/>
      <c r="O14" s="656"/>
      <c r="P14" s="656"/>
      <c r="Q14" s="656"/>
      <c r="R14" s="656"/>
      <c r="S14" s="656"/>
      <c r="T14" s="656"/>
      <c r="U14" s="656"/>
      <c r="V14" s="656"/>
      <c r="W14" s="656"/>
      <c r="X14" s="657"/>
      <c r="Y14" s="450"/>
      <c r="Z14" s="450"/>
      <c r="AA14" s="450"/>
      <c r="AB14" s="63"/>
      <c r="AC14" s="63"/>
      <c r="AD14" s="63"/>
      <c r="AE14" s="63"/>
      <c r="AF14" s="405"/>
      <c r="AG14" s="406"/>
    </row>
    <row r="15" spans="1:33" ht="13.5" thickBot="1">
      <c r="A15" s="44"/>
      <c r="B15" s="67"/>
      <c r="C15" s="18"/>
      <c r="D15" s="16" t="s">
        <v>34</v>
      </c>
      <c r="E15" s="24" t="s">
        <v>267</v>
      </c>
      <c r="F15" s="18"/>
      <c r="G15" s="18"/>
      <c r="H15" s="18"/>
      <c r="I15" s="18"/>
      <c r="J15" s="19"/>
      <c r="K15" s="20"/>
      <c r="L15" s="25"/>
      <c r="M15" s="25"/>
      <c r="N15" s="25"/>
      <c r="O15" s="25"/>
      <c r="P15" s="25"/>
      <c r="Q15" s="26"/>
      <c r="R15" s="27" t="s">
        <v>16</v>
      </c>
      <c r="S15" s="28">
        <v>1</v>
      </c>
      <c r="T15" s="18"/>
      <c r="U15" s="18"/>
      <c r="V15" s="29"/>
      <c r="W15" s="42"/>
      <c r="X15" s="43"/>
      <c r="Y15" s="451"/>
      <c r="Z15" s="451"/>
      <c r="AA15" s="451"/>
      <c r="AB15" s="63"/>
      <c r="AC15" s="63"/>
      <c r="AD15" s="63"/>
      <c r="AE15" s="63"/>
      <c r="AF15" s="405"/>
      <c r="AG15" s="406"/>
    </row>
    <row r="16" spans="1:33" ht="4.5" customHeight="1" thickBot="1">
      <c r="A16" s="46"/>
      <c r="B16" s="45"/>
      <c r="C16" s="7"/>
      <c r="D16" s="1"/>
      <c r="E16" s="30"/>
      <c r="F16" s="7"/>
      <c r="G16" s="7"/>
      <c r="H16" s="7"/>
      <c r="I16" s="7"/>
      <c r="J16" s="10"/>
      <c r="K16" s="11"/>
      <c r="L16" s="31"/>
      <c r="M16" s="31"/>
      <c r="N16" s="31"/>
      <c r="O16" s="31"/>
      <c r="P16" s="31"/>
      <c r="Q16" s="32"/>
      <c r="R16" s="33"/>
      <c r="S16" s="34"/>
      <c r="T16" s="7"/>
      <c r="U16" s="7"/>
      <c r="V16" s="35"/>
      <c r="W16" s="12"/>
      <c r="X16" s="62"/>
      <c r="Y16" s="449"/>
      <c r="Z16" s="449"/>
      <c r="AA16" s="449"/>
      <c r="AB16" s="63"/>
      <c r="AC16" s="63"/>
      <c r="AD16" s="63"/>
      <c r="AE16" s="63"/>
      <c r="AF16" s="405"/>
      <c r="AG16" s="406"/>
    </row>
    <row r="17" spans="1:33" ht="12.75">
      <c r="A17" s="655" t="s">
        <v>37</v>
      </c>
      <c r="B17" s="656"/>
      <c r="C17" s="656"/>
      <c r="D17" s="656"/>
      <c r="E17" s="656"/>
      <c r="F17" s="656"/>
      <c r="G17" s="656"/>
      <c r="H17" s="656"/>
      <c r="I17" s="656"/>
      <c r="J17" s="656"/>
      <c r="K17" s="656"/>
      <c r="L17" s="656"/>
      <c r="M17" s="656"/>
      <c r="N17" s="656"/>
      <c r="O17" s="656"/>
      <c r="P17" s="656"/>
      <c r="Q17" s="656"/>
      <c r="R17" s="656"/>
      <c r="S17" s="656"/>
      <c r="T17" s="656"/>
      <c r="U17" s="656"/>
      <c r="V17" s="656"/>
      <c r="W17" s="656"/>
      <c r="X17" s="657"/>
      <c r="Y17" s="450"/>
      <c r="Z17" s="450"/>
      <c r="AA17" s="450"/>
      <c r="AB17" s="63"/>
      <c r="AC17" s="63"/>
      <c r="AD17" s="63"/>
      <c r="AE17" s="63"/>
      <c r="AF17" s="405"/>
      <c r="AG17" s="406"/>
    </row>
    <row r="18" spans="1:33" ht="12.75">
      <c r="A18" s="46"/>
      <c r="B18" s="45"/>
      <c r="C18" s="7"/>
      <c r="D18" s="1" t="s">
        <v>33</v>
      </c>
      <c r="E18" s="661" t="s">
        <v>394</v>
      </c>
      <c r="F18" s="661"/>
      <c r="G18" s="661"/>
      <c r="H18" s="9"/>
      <c r="I18" s="30"/>
      <c r="J18" s="10"/>
      <c r="K18" s="11"/>
      <c r="L18" s="31"/>
      <c r="M18" s="257"/>
      <c r="N18" s="31"/>
      <c r="O18" s="31"/>
      <c r="P18" s="257"/>
      <c r="Q18" s="32"/>
      <c r="R18" s="34"/>
      <c r="S18" s="34"/>
      <c r="T18" s="659" t="s">
        <v>72</v>
      </c>
      <c r="U18" s="659"/>
      <c r="V18" s="659"/>
      <c r="W18" s="2" t="s">
        <v>266</v>
      </c>
      <c r="X18" s="8"/>
      <c r="Y18" s="7"/>
      <c r="Z18" s="7"/>
      <c r="AA18" s="7"/>
      <c r="AB18" s="63"/>
      <c r="AC18" s="63"/>
      <c r="AD18" s="63"/>
      <c r="AE18" s="63"/>
      <c r="AF18" s="405"/>
      <c r="AG18" s="406"/>
    </row>
    <row r="19" spans="1:33" ht="12.75">
      <c r="A19" s="46"/>
      <c r="B19" s="45"/>
      <c r="C19" s="9"/>
      <c r="D19" s="1" t="s">
        <v>29</v>
      </c>
      <c r="E19" s="660" t="s">
        <v>264</v>
      </c>
      <c r="F19" s="660"/>
      <c r="G19" s="2"/>
      <c r="H19" s="7"/>
      <c r="I19" s="7"/>
      <c r="J19" s="10"/>
      <c r="K19" s="11"/>
      <c r="L19" s="3"/>
      <c r="M19" s="3"/>
      <c r="N19" s="3"/>
      <c r="O19" s="3"/>
      <c r="P19" s="5"/>
      <c r="Q19" s="2"/>
      <c r="R19" s="6"/>
      <c r="S19" s="1" t="s">
        <v>21</v>
      </c>
      <c r="T19" s="659" t="s">
        <v>30</v>
      </c>
      <c r="U19" s="659"/>
      <c r="V19" s="659"/>
      <c r="W19" s="653" t="s">
        <v>31</v>
      </c>
      <c r="X19" s="654"/>
      <c r="Y19" s="449"/>
      <c r="Z19" s="449"/>
      <c r="AA19" s="449"/>
      <c r="AB19" s="63"/>
      <c r="AC19" s="63"/>
      <c r="AD19" s="63"/>
      <c r="AE19" s="63"/>
      <c r="AF19" s="405"/>
      <c r="AG19" s="406"/>
    </row>
    <row r="20" spans="1:33" ht="12.75">
      <c r="A20" s="46"/>
      <c r="B20" s="45"/>
      <c r="C20" s="13"/>
      <c r="D20" s="14" t="s">
        <v>32</v>
      </c>
      <c r="E20" s="660" t="s">
        <v>265</v>
      </c>
      <c r="F20" s="660"/>
      <c r="G20" s="660"/>
      <c r="H20" s="660"/>
      <c r="I20" s="660"/>
      <c r="J20" s="660"/>
      <c r="K20" s="660"/>
      <c r="L20" s="660"/>
      <c r="M20" s="660"/>
      <c r="N20" s="660"/>
      <c r="O20" s="660"/>
      <c r="P20" s="660"/>
      <c r="Q20" s="660"/>
      <c r="R20" s="660"/>
      <c r="S20" s="660"/>
      <c r="T20" s="660"/>
      <c r="U20" s="2"/>
      <c r="V20" s="2"/>
      <c r="W20" s="7"/>
      <c r="X20" s="8"/>
      <c r="Y20" s="7"/>
      <c r="Z20" s="7"/>
      <c r="AA20" s="7"/>
      <c r="AB20" s="63"/>
      <c r="AC20" s="63"/>
      <c r="AD20" s="63"/>
      <c r="AE20" s="63"/>
      <c r="AF20" s="405"/>
      <c r="AG20" s="406"/>
    </row>
    <row r="21" spans="1:33" ht="13.5" thickBot="1">
      <c r="A21" s="44"/>
      <c r="B21" s="67"/>
      <c r="C21" s="36"/>
      <c r="D21" s="37"/>
      <c r="E21" s="24"/>
      <c r="F21" s="17"/>
      <c r="G21" s="17"/>
      <c r="H21" s="17"/>
      <c r="I21" s="17"/>
      <c r="J21" s="21"/>
      <c r="K21" s="38"/>
      <c r="L21" s="21"/>
      <c r="M21" s="21"/>
      <c r="N21" s="21"/>
      <c r="O21" s="21"/>
      <c r="P21" s="22"/>
      <c r="Q21" s="17"/>
      <c r="R21" s="23"/>
      <c r="S21" s="17"/>
      <c r="T21" s="17"/>
      <c r="U21" s="17"/>
      <c r="V21" s="17"/>
      <c r="W21" s="18"/>
      <c r="X21" s="39"/>
      <c r="Y21" s="7"/>
      <c r="Z21" s="7"/>
      <c r="AA21" s="7"/>
      <c r="AB21" s="63"/>
      <c r="AC21" s="63"/>
      <c r="AD21" s="63"/>
      <c r="AE21" s="63"/>
      <c r="AF21" s="405"/>
      <c r="AG21" s="406"/>
    </row>
    <row r="22" spans="1:33" ht="4.5" customHeight="1" thickBot="1">
      <c r="A22" s="46"/>
      <c r="B22" s="45"/>
      <c r="C22" s="7"/>
      <c r="D22" s="1"/>
      <c r="E22" s="30"/>
      <c r="F22" s="7"/>
      <c r="G22" s="7"/>
      <c r="H22" s="7"/>
      <c r="I22" s="7"/>
      <c r="J22" s="10"/>
      <c r="K22" s="11"/>
      <c r="L22" s="31"/>
      <c r="M22" s="31"/>
      <c r="N22" s="31"/>
      <c r="O22" s="31"/>
      <c r="P22" s="31"/>
      <c r="Q22" s="32"/>
      <c r="R22" s="33"/>
      <c r="S22" s="34"/>
      <c r="T22" s="7"/>
      <c r="U22" s="7"/>
      <c r="V22" s="35"/>
      <c r="W22" s="12"/>
      <c r="X22" s="62"/>
      <c r="Y22" s="449"/>
      <c r="Z22" s="449"/>
      <c r="AA22" s="449"/>
      <c r="AB22" s="63"/>
      <c r="AC22" s="63"/>
      <c r="AD22" s="63"/>
      <c r="AE22" s="63"/>
      <c r="AF22" s="405"/>
      <c r="AG22" s="406"/>
    </row>
    <row r="23" spans="1:33" ht="12.75">
      <c r="A23" s="667" t="s">
        <v>301</v>
      </c>
      <c r="B23" s="668"/>
      <c r="C23" s="668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  <c r="T23" s="668"/>
      <c r="U23" s="668"/>
      <c r="V23" s="668"/>
      <c r="W23" s="668"/>
      <c r="X23" s="669"/>
      <c r="Y23" s="452"/>
      <c r="Z23" s="452"/>
      <c r="AA23" s="452"/>
      <c r="AB23" s="63"/>
      <c r="AC23" s="63"/>
      <c r="AD23" s="63"/>
      <c r="AE23" s="63"/>
      <c r="AF23" s="405"/>
      <c r="AG23" s="406"/>
    </row>
    <row r="24" spans="1:33" ht="12.75">
      <c r="A24" s="46"/>
      <c r="B24" s="45"/>
      <c r="C24" s="13"/>
      <c r="D24" s="14" t="s">
        <v>78</v>
      </c>
      <c r="E24" s="258">
        <f>$J$202</f>
        <v>0.21807351778769757</v>
      </c>
      <c r="F24" s="259" t="s">
        <v>465</v>
      </c>
      <c r="G24" s="260"/>
      <c r="H24" s="260"/>
      <c r="I24" s="14"/>
      <c r="J24" s="261"/>
      <c r="K24" s="666"/>
      <c r="L24" s="666"/>
      <c r="M24" s="666"/>
      <c r="N24" s="666"/>
      <c r="O24" s="666"/>
      <c r="P24" s="666"/>
      <c r="Q24" s="666"/>
      <c r="R24" s="666"/>
      <c r="S24" s="666"/>
      <c r="T24" s="666"/>
      <c r="U24" s="7"/>
      <c r="V24" s="14" t="s">
        <v>38</v>
      </c>
      <c r="W24" s="2" t="s">
        <v>39</v>
      </c>
      <c r="X24" s="8"/>
      <c r="Y24" s="7"/>
      <c r="Z24" s="7"/>
      <c r="AA24" s="7"/>
      <c r="AB24" s="63"/>
      <c r="AC24" s="63"/>
      <c r="AD24" s="63"/>
      <c r="AE24" s="63"/>
      <c r="AF24" s="405"/>
      <c r="AG24" s="406"/>
    </row>
    <row r="25" spans="1:33" ht="18">
      <c r="A25" s="91" t="s">
        <v>60</v>
      </c>
      <c r="B25" s="92" t="s">
        <v>104</v>
      </c>
      <c r="C25" s="670" t="s">
        <v>59</v>
      </c>
      <c r="D25" s="670"/>
      <c r="E25" s="670"/>
      <c r="F25" s="670"/>
      <c r="G25" s="670"/>
      <c r="H25" s="670"/>
      <c r="I25" s="670"/>
      <c r="J25" s="69" t="s">
        <v>1</v>
      </c>
      <c r="K25" s="69" t="s">
        <v>2</v>
      </c>
      <c r="L25" s="93" t="s">
        <v>6</v>
      </c>
      <c r="M25" s="93" t="s">
        <v>4</v>
      </c>
      <c r="N25" s="93" t="s">
        <v>7</v>
      </c>
      <c r="O25" s="93" t="s">
        <v>5</v>
      </c>
      <c r="P25" s="94" t="s">
        <v>3</v>
      </c>
      <c r="Q25" s="93" t="s">
        <v>14</v>
      </c>
      <c r="R25" s="95" t="s">
        <v>15</v>
      </c>
      <c r="S25" s="95" t="s">
        <v>15</v>
      </c>
      <c r="T25" s="96" t="s">
        <v>6</v>
      </c>
      <c r="U25" s="96" t="s">
        <v>4</v>
      </c>
      <c r="V25" s="96" t="s">
        <v>7</v>
      </c>
      <c r="W25" s="96" t="s">
        <v>5</v>
      </c>
      <c r="X25" s="97" t="s">
        <v>3</v>
      </c>
      <c r="Y25" s="453" t="s">
        <v>574</v>
      </c>
      <c r="Z25" s="453" t="s">
        <v>575</v>
      </c>
      <c r="AA25" s="64" t="s">
        <v>576</v>
      </c>
      <c r="AB25" s="64" t="s">
        <v>577</v>
      </c>
      <c r="AC25" s="64"/>
      <c r="AD25" s="64"/>
      <c r="AE25" s="64"/>
      <c r="AF25" s="47"/>
      <c r="AG25" s="47"/>
    </row>
    <row r="26" spans="1:34" s="407" customFormat="1" ht="12.75">
      <c r="A26" s="98" t="s">
        <v>57</v>
      </c>
      <c r="B26" s="663" t="s">
        <v>125</v>
      </c>
      <c r="C26" s="664"/>
      <c r="D26" s="664"/>
      <c r="E26" s="664"/>
      <c r="F26" s="664"/>
      <c r="G26" s="664"/>
      <c r="H26" s="664"/>
      <c r="I26" s="665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432"/>
      <c r="U26" s="433">
        <f>SUM(U27:U28)</f>
        <v>678.8779999999999</v>
      </c>
      <c r="V26" s="432"/>
      <c r="W26" s="433">
        <f>SUM(W27:W28)</f>
        <v>1640.6190000000001</v>
      </c>
      <c r="X26" s="434">
        <f>U26+W26</f>
        <v>2319.4970000000003</v>
      </c>
      <c r="Y26" s="454"/>
      <c r="Z26" s="454"/>
      <c r="AA26" s="115"/>
      <c r="AB26" s="115"/>
      <c r="AC26" s="207" t="s">
        <v>395</v>
      </c>
      <c r="AD26" s="115"/>
      <c r="AE26" s="207" t="s">
        <v>396</v>
      </c>
      <c r="AF26" s="114"/>
      <c r="AG26" s="205" t="s">
        <v>486</v>
      </c>
      <c r="AH26" s="209" t="s">
        <v>492</v>
      </c>
    </row>
    <row r="27" spans="1:34" s="406" customFormat="1" ht="12.75">
      <c r="A27" s="100" t="s">
        <v>58</v>
      </c>
      <c r="B27" s="101" t="s">
        <v>127</v>
      </c>
      <c r="C27" s="588" t="s">
        <v>126</v>
      </c>
      <c r="D27" s="588"/>
      <c r="E27" s="588"/>
      <c r="F27" s="588"/>
      <c r="G27" s="588"/>
      <c r="H27" s="588"/>
      <c r="I27" s="588"/>
      <c r="J27" s="69">
        <v>0</v>
      </c>
      <c r="K27" s="69" t="s">
        <v>63</v>
      </c>
      <c r="L27" s="90"/>
      <c r="M27" s="90"/>
      <c r="N27" s="90"/>
      <c r="O27" s="90"/>
      <c r="P27" s="103"/>
      <c r="Q27" s="90"/>
      <c r="R27" s="90"/>
      <c r="S27" s="90"/>
      <c r="T27" s="435">
        <v>262.096</v>
      </c>
      <c r="U27" s="435">
        <f>J27*T27</f>
        <v>0</v>
      </c>
      <c r="V27" s="435">
        <v>33.676</v>
      </c>
      <c r="W27" s="435">
        <f>(V27*J27)</f>
        <v>0</v>
      </c>
      <c r="X27" s="436">
        <f>ROUND(U27+W27,2)</f>
        <v>0</v>
      </c>
      <c r="Y27" s="455">
        <v>739.43</v>
      </c>
      <c r="Z27" s="455">
        <v>739.43</v>
      </c>
      <c r="AA27" s="64">
        <f>IF((Y27=Z27),0,(Y27-Z27))</f>
        <v>0</v>
      </c>
      <c r="AB27" s="64" t="str">
        <f>IF((X27=AA27),"OK",(X27-AA27))</f>
        <v>OK</v>
      </c>
      <c r="AC27" s="74">
        <v>269.3</v>
      </c>
      <c r="AD27" s="64"/>
      <c r="AE27" s="74">
        <v>34.6</v>
      </c>
      <c r="AF27" s="79"/>
      <c r="AG27" s="206">
        <f>AE27+AC27</f>
        <v>303.90000000000003</v>
      </c>
      <c r="AH27" s="210">
        <v>303.9</v>
      </c>
    </row>
    <row r="28" spans="1:34" s="406" customFormat="1" ht="12.75" customHeight="1">
      <c r="A28" s="100" t="s">
        <v>398</v>
      </c>
      <c r="B28" s="101" t="s">
        <v>128</v>
      </c>
      <c r="C28" s="580" t="s">
        <v>129</v>
      </c>
      <c r="D28" s="580"/>
      <c r="E28" s="580"/>
      <c r="F28" s="580"/>
      <c r="G28" s="580"/>
      <c r="H28" s="580"/>
      <c r="I28" s="580"/>
      <c r="J28" s="69">
        <f>8330-1249.5</f>
        <v>7080.5</v>
      </c>
      <c r="K28" s="69" t="s">
        <v>63</v>
      </c>
      <c r="L28" s="90"/>
      <c r="M28" s="90"/>
      <c r="N28" s="90"/>
      <c r="O28" s="90"/>
      <c r="P28" s="103"/>
      <c r="Q28" s="90"/>
      <c r="R28" s="90"/>
      <c r="S28" s="90"/>
      <c r="T28" s="435">
        <v>0.09587995198079231</v>
      </c>
      <c r="U28" s="435">
        <f>J28*T28</f>
        <v>678.8779999999999</v>
      </c>
      <c r="V28" s="435">
        <v>0.2317094837935174</v>
      </c>
      <c r="W28" s="435">
        <f>(V28*J28)</f>
        <v>1640.6190000000001</v>
      </c>
      <c r="X28" s="436">
        <f>ROUND(U28+W28,2)</f>
        <v>2319.5</v>
      </c>
      <c r="Y28" s="455">
        <v>2728.83</v>
      </c>
      <c r="Z28" s="455">
        <v>409.32</v>
      </c>
      <c r="AA28" s="64">
        <f>IF((Y28=Z28),0,(Y28-Z28))</f>
        <v>2319.5099999999998</v>
      </c>
      <c r="AB28" s="64">
        <f>IF((X28=AA28),"OK",(X28-AA28))</f>
        <v>-0.009999999999763531</v>
      </c>
      <c r="AC28" s="74">
        <v>0.1</v>
      </c>
      <c r="AD28" s="64"/>
      <c r="AE28" s="74">
        <v>0.24</v>
      </c>
      <c r="AF28" s="79"/>
      <c r="AG28" s="206">
        <f aca="true" t="shared" si="0" ref="AG28:AG105">AE28+AC28</f>
        <v>0.33999999999999997</v>
      </c>
      <c r="AH28" s="210">
        <v>0.34</v>
      </c>
    </row>
    <row r="29" spans="1:34" s="407" customFormat="1" ht="12.75">
      <c r="A29" s="98" t="s">
        <v>61</v>
      </c>
      <c r="B29" s="575" t="s">
        <v>102</v>
      </c>
      <c r="C29" s="575"/>
      <c r="D29" s="575"/>
      <c r="E29" s="575"/>
      <c r="F29" s="575"/>
      <c r="G29" s="575"/>
      <c r="H29" s="575"/>
      <c r="I29" s="575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437"/>
      <c r="U29" s="433">
        <f>U30+U34</f>
        <v>61734.4889469757</v>
      </c>
      <c r="V29" s="437"/>
      <c r="W29" s="433">
        <f>W30+W34</f>
        <v>15068.89057081565</v>
      </c>
      <c r="X29" s="434">
        <f aca="true" t="shared" si="1" ref="X29:X34">U29+W29</f>
        <v>76803.37951779136</v>
      </c>
      <c r="Y29" s="454"/>
      <c r="Z29" s="454"/>
      <c r="AA29" s="454"/>
      <c r="AB29" s="408"/>
      <c r="AC29" s="207" t="s">
        <v>395</v>
      </c>
      <c r="AD29" s="115"/>
      <c r="AE29" s="207" t="s">
        <v>396</v>
      </c>
      <c r="AF29" s="114"/>
      <c r="AG29" s="205" t="s">
        <v>486</v>
      </c>
      <c r="AH29" s="209" t="s">
        <v>492</v>
      </c>
    </row>
    <row r="30" spans="1:34" s="410" customFormat="1" ht="12.75">
      <c r="A30" s="104" t="s">
        <v>62</v>
      </c>
      <c r="B30" s="662" t="s">
        <v>107</v>
      </c>
      <c r="C30" s="662"/>
      <c r="D30" s="662"/>
      <c r="E30" s="662"/>
      <c r="F30" s="662"/>
      <c r="G30" s="662"/>
      <c r="H30" s="662"/>
      <c r="I30" s="662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438"/>
      <c r="U30" s="439">
        <f>SUM(U31:U33)</f>
        <v>58782.5189469757</v>
      </c>
      <c r="V30" s="438"/>
      <c r="W30" s="439">
        <f>SUM(W31:W33)</f>
        <v>13637.96057081565</v>
      </c>
      <c r="X30" s="440">
        <f t="shared" si="1"/>
        <v>72420.47951779135</v>
      </c>
      <c r="Y30" s="456"/>
      <c r="Z30" s="456"/>
      <c r="AA30" s="456"/>
      <c r="AB30" s="409"/>
      <c r="AC30" s="78"/>
      <c r="AD30" s="409"/>
      <c r="AE30" s="78"/>
      <c r="AF30" s="116"/>
      <c r="AG30" s="206"/>
      <c r="AH30" s="213"/>
    </row>
    <row r="31" spans="1:34" s="406" customFormat="1" ht="12.75">
      <c r="A31" s="106" t="s">
        <v>116</v>
      </c>
      <c r="B31" s="107" t="s">
        <v>214</v>
      </c>
      <c r="C31" s="568" t="s">
        <v>106</v>
      </c>
      <c r="D31" s="568"/>
      <c r="E31" s="568"/>
      <c r="F31" s="568"/>
      <c r="G31" s="568"/>
      <c r="H31" s="568"/>
      <c r="I31" s="568"/>
      <c r="J31" s="69">
        <f>1120.19+380.82-363.09</f>
        <v>1137.92</v>
      </c>
      <c r="K31" s="76" t="s">
        <v>63</v>
      </c>
      <c r="L31" s="70"/>
      <c r="M31" s="70"/>
      <c r="N31" s="70"/>
      <c r="O31" s="70"/>
      <c r="P31" s="70"/>
      <c r="Q31" s="70"/>
      <c r="R31" s="70"/>
      <c r="S31" s="70"/>
      <c r="T31" s="435">
        <v>0.894877449184216</v>
      </c>
      <c r="U31" s="435">
        <f>J31*T31</f>
        <v>1018.2989469757031</v>
      </c>
      <c r="V31" s="435">
        <v>0.2956276107421003</v>
      </c>
      <c r="W31" s="435">
        <f>(V31*J31)</f>
        <v>336.4005708156508</v>
      </c>
      <c r="X31" s="436">
        <f>ROUND(U31+W31,2)</f>
        <v>1354.7</v>
      </c>
      <c r="Y31" s="455">
        <v>1786.97</v>
      </c>
      <c r="Z31" s="455">
        <v>432.27</v>
      </c>
      <c r="AA31" s="64">
        <f>IF((Y31=Z31),0,(Y31-Z31))</f>
        <v>1354.7</v>
      </c>
      <c r="AB31" s="64" t="str">
        <f>IF((X31=AA31),"OK",(X31-AA31))</f>
        <v>OK</v>
      </c>
      <c r="AC31" s="72">
        <f>0.57+0.35</f>
        <v>0.9199999999999999</v>
      </c>
      <c r="AD31" s="63"/>
      <c r="AE31" s="72">
        <v>0.3</v>
      </c>
      <c r="AF31" s="79"/>
      <c r="AG31" s="206">
        <f t="shared" si="0"/>
        <v>1.22</v>
      </c>
      <c r="AH31" s="214">
        <v>1.22</v>
      </c>
    </row>
    <row r="32" spans="1:34" s="66" customFormat="1" ht="19.5" customHeight="1">
      <c r="A32" s="106" t="s">
        <v>117</v>
      </c>
      <c r="B32" s="107" t="s">
        <v>105</v>
      </c>
      <c r="C32" s="568" t="s">
        <v>103</v>
      </c>
      <c r="D32" s="568"/>
      <c r="E32" s="568"/>
      <c r="F32" s="568"/>
      <c r="G32" s="568"/>
      <c r="H32" s="568"/>
      <c r="I32" s="568"/>
      <c r="J32" s="69">
        <f>1120.19</f>
        <v>1120.19</v>
      </c>
      <c r="K32" s="76" t="s">
        <v>63</v>
      </c>
      <c r="L32" s="70"/>
      <c r="M32" s="70"/>
      <c r="N32" s="70"/>
      <c r="O32" s="70"/>
      <c r="P32" s="70"/>
      <c r="Q32" s="70"/>
      <c r="R32" s="70"/>
      <c r="S32" s="70"/>
      <c r="T32" s="435">
        <v>37.54500575795178</v>
      </c>
      <c r="U32" s="435">
        <f>J32*T32</f>
        <v>42057.54</v>
      </c>
      <c r="V32" s="435">
        <v>8.804979512404145</v>
      </c>
      <c r="W32" s="435">
        <f>(V32*J32)</f>
        <v>9863.25</v>
      </c>
      <c r="X32" s="436">
        <f>ROUND(U32+W32,2)</f>
        <v>51920.79</v>
      </c>
      <c r="Y32" s="455">
        <v>51920.8</v>
      </c>
      <c r="Z32" s="455">
        <v>16832.72</v>
      </c>
      <c r="AA32" s="64">
        <f>IF((Y32=Z32),0,(Y32-Z32))</f>
        <v>35088.08</v>
      </c>
      <c r="AB32" s="467">
        <f>IF((X32=AA32),"OK",(X32-AA32))</f>
        <v>16832.71</v>
      </c>
      <c r="AC32" s="72">
        <f>38.35+0.23</f>
        <v>38.58</v>
      </c>
      <c r="AD32" s="63"/>
      <c r="AE32" s="72">
        <v>9.05</v>
      </c>
      <c r="AF32" s="79"/>
      <c r="AG32" s="206">
        <f t="shared" si="0"/>
        <v>47.629999999999995</v>
      </c>
      <c r="AH32" s="210">
        <v>47.63</v>
      </c>
    </row>
    <row r="33" spans="1:34" s="406" customFormat="1" ht="19.5" customHeight="1">
      <c r="A33" s="106" t="s">
        <v>305</v>
      </c>
      <c r="B33" s="107" t="s">
        <v>306</v>
      </c>
      <c r="C33" s="568" t="s">
        <v>307</v>
      </c>
      <c r="D33" s="568"/>
      <c r="E33" s="568"/>
      <c r="F33" s="568"/>
      <c r="G33" s="568"/>
      <c r="H33" s="568"/>
      <c r="I33" s="568"/>
      <c r="J33" s="69">
        <v>380.82</v>
      </c>
      <c r="K33" s="109" t="s">
        <v>63</v>
      </c>
      <c r="L33" s="71"/>
      <c r="M33" s="71"/>
      <c r="N33" s="71"/>
      <c r="O33" s="71"/>
      <c r="P33" s="71"/>
      <c r="Q33" s="71"/>
      <c r="R33" s="71"/>
      <c r="S33" s="71"/>
      <c r="T33" s="435">
        <v>41.244367417677644</v>
      </c>
      <c r="U33" s="435">
        <f>J33*T33</f>
        <v>15706.68</v>
      </c>
      <c r="V33" s="435">
        <v>9.028701223675228</v>
      </c>
      <c r="W33" s="435">
        <f>(V33*J33)</f>
        <v>3438.31</v>
      </c>
      <c r="X33" s="436">
        <f>ROUND(U33+W33,2)</f>
        <v>19144.99</v>
      </c>
      <c r="Y33" s="455">
        <v>19144.99</v>
      </c>
      <c r="Z33" s="455">
        <v>0</v>
      </c>
      <c r="AA33" s="64">
        <f>IF((Y33=Z33),0,(Y33-Z33))</f>
        <v>19144.99</v>
      </c>
      <c r="AB33" s="64" t="str">
        <f>IF((X33=AA33),"OK",(X33-AA33))</f>
        <v>OK</v>
      </c>
      <c r="AC33" s="72">
        <v>42.38</v>
      </c>
      <c r="AD33" s="63"/>
      <c r="AE33" s="72">
        <f>9.05+0.23</f>
        <v>9.280000000000001</v>
      </c>
      <c r="AF33" s="79"/>
      <c r="AG33" s="206">
        <f t="shared" si="0"/>
        <v>51.660000000000004</v>
      </c>
      <c r="AH33" s="210">
        <v>51.66</v>
      </c>
    </row>
    <row r="34" spans="1:34" s="410" customFormat="1" ht="12.75">
      <c r="A34" s="104" t="s">
        <v>118</v>
      </c>
      <c r="B34" s="662" t="s">
        <v>108</v>
      </c>
      <c r="C34" s="662"/>
      <c r="D34" s="662"/>
      <c r="E34" s="662"/>
      <c r="F34" s="662"/>
      <c r="G34" s="662"/>
      <c r="H34" s="662"/>
      <c r="I34" s="662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438"/>
      <c r="U34" s="439">
        <f>SUM(U35:U39)</f>
        <v>2951.9700000000007</v>
      </c>
      <c r="V34" s="438"/>
      <c r="W34" s="439">
        <f>SUM(W35:W39)</f>
        <v>1430.9299999999998</v>
      </c>
      <c r="X34" s="440">
        <f t="shared" si="1"/>
        <v>4382.900000000001</v>
      </c>
      <c r="Y34" s="456"/>
      <c r="Z34" s="456"/>
      <c r="AA34" s="64"/>
      <c r="AB34" s="64"/>
      <c r="AC34" s="78"/>
      <c r="AD34" s="409"/>
      <c r="AE34" s="78"/>
      <c r="AF34" s="116"/>
      <c r="AG34" s="206">
        <f t="shared" si="0"/>
        <v>0</v>
      </c>
      <c r="AH34" s="215"/>
    </row>
    <row r="35" spans="1:34" s="406" customFormat="1" ht="12.75">
      <c r="A35" s="106" t="s">
        <v>119</v>
      </c>
      <c r="B35" s="107" t="s">
        <v>542</v>
      </c>
      <c r="C35" s="568" t="s">
        <v>109</v>
      </c>
      <c r="D35" s="568"/>
      <c r="E35" s="568"/>
      <c r="F35" s="568"/>
      <c r="G35" s="568"/>
      <c r="H35" s="568"/>
      <c r="I35" s="568"/>
      <c r="J35" s="69">
        <v>2.94</v>
      </c>
      <c r="K35" s="109" t="s">
        <v>64</v>
      </c>
      <c r="L35" s="71"/>
      <c r="M35" s="71"/>
      <c r="N35" s="71"/>
      <c r="O35" s="71"/>
      <c r="P35" s="71"/>
      <c r="Q35" s="71"/>
      <c r="R35" s="71"/>
      <c r="S35" s="71"/>
      <c r="T35" s="435">
        <v>293.08843537414964</v>
      </c>
      <c r="U35" s="435">
        <f>J35*T35</f>
        <v>861.68</v>
      </c>
      <c r="V35" s="465">
        <v>22.554421768707485</v>
      </c>
      <c r="W35" s="435">
        <f>(V35*J35)</f>
        <v>66.31</v>
      </c>
      <c r="X35" s="466">
        <f>(U35+W35)</f>
        <v>927.99</v>
      </c>
      <c r="Y35" s="455">
        <v>928</v>
      </c>
      <c r="Z35" s="455">
        <v>0</v>
      </c>
      <c r="AA35" s="64">
        <f>IF((Y35=Z35),0,(Y35-Z35))</f>
        <v>928</v>
      </c>
      <c r="AB35" s="467">
        <f>IF((X35=AA35),"OK",(X35-AA35))</f>
        <v>-0.009999999999990905</v>
      </c>
      <c r="AC35" s="73">
        <f>300.9+0.14+0.11</f>
        <v>301.15</v>
      </c>
      <c r="AD35" s="63"/>
      <c r="AE35" s="73">
        <v>23.18</v>
      </c>
      <c r="AF35" s="79"/>
      <c r="AG35" s="206">
        <f t="shared" si="0"/>
        <v>324.33</v>
      </c>
      <c r="AH35" s="210">
        <v>324.33</v>
      </c>
    </row>
    <row r="36" spans="1:34" s="406" customFormat="1" ht="19.5" customHeight="1">
      <c r="A36" s="106" t="s">
        <v>120</v>
      </c>
      <c r="B36" s="107" t="s">
        <v>216</v>
      </c>
      <c r="C36" s="569" t="s">
        <v>215</v>
      </c>
      <c r="D36" s="570"/>
      <c r="E36" s="570"/>
      <c r="F36" s="570"/>
      <c r="G36" s="570"/>
      <c r="H36" s="570"/>
      <c r="I36" s="571"/>
      <c r="J36" s="69">
        <v>59.38</v>
      </c>
      <c r="K36" s="109" t="s">
        <v>66</v>
      </c>
      <c r="L36" s="71"/>
      <c r="M36" s="71"/>
      <c r="N36" s="71"/>
      <c r="O36" s="71"/>
      <c r="P36" s="71"/>
      <c r="Q36" s="71"/>
      <c r="R36" s="71"/>
      <c r="S36" s="71"/>
      <c r="T36" s="435">
        <v>5.608959245537218</v>
      </c>
      <c r="U36" s="435">
        <f>J36*T36</f>
        <v>333.06</v>
      </c>
      <c r="V36" s="435">
        <v>2.5407544627820813</v>
      </c>
      <c r="W36" s="435">
        <f>(V36*J36)</f>
        <v>150.87</v>
      </c>
      <c r="X36" s="466">
        <f>ROUND(U36+W36,2)</f>
        <v>483.93</v>
      </c>
      <c r="Y36" s="455">
        <v>483.94</v>
      </c>
      <c r="Z36" s="455">
        <v>0</v>
      </c>
      <c r="AA36" s="64">
        <f>IF((Y36=Z36),0,(Y36-Z36))</f>
        <v>483.94</v>
      </c>
      <c r="AB36" s="467">
        <f>IF((X36=AA36),"OK",(X36-AA36))</f>
        <v>-0.009999999999990905</v>
      </c>
      <c r="AC36" s="73">
        <v>5.76</v>
      </c>
      <c r="AD36" s="63"/>
      <c r="AE36" s="73">
        <v>2.61</v>
      </c>
      <c r="AF36" s="79"/>
      <c r="AG36" s="206">
        <f t="shared" si="0"/>
        <v>8.37</v>
      </c>
      <c r="AH36" s="210">
        <v>8.37</v>
      </c>
    </row>
    <row r="37" spans="1:34" s="406" customFormat="1" ht="17.25" customHeight="1">
      <c r="A37" s="106" t="s">
        <v>121</v>
      </c>
      <c r="B37" s="107" t="s">
        <v>320</v>
      </c>
      <c r="C37" s="569" t="s">
        <v>318</v>
      </c>
      <c r="D37" s="570"/>
      <c r="E37" s="570"/>
      <c r="F37" s="570"/>
      <c r="G37" s="570"/>
      <c r="H37" s="570"/>
      <c r="I37" s="571"/>
      <c r="J37" s="69">
        <v>160.59</v>
      </c>
      <c r="K37" s="109" t="s">
        <v>66</v>
      </c>
      <c r="L37" s="71"/>
      <c r="M37" s="71"/>
      <c r="N37" s="71"/>
      <c r="O37" s="71"/>
      <c r="P37" s="71"/>
      <c r="Q37" s="71"/>
      <c r="R37" s="71"/>
      <c r="S37" s="71"/>
      <c r="T37" s="435">
        <v>5.656890217323619</v>
      </c>
      <c r="U37" s="435">
        <f>J37*T37</f>
        <v>908.44</v>
      </c>
      <c r="V37" s="435">
        <v>3.659443302820848</v>
      </c>
      <c r="W37" s="435">
        <f>(V37*J37)</f>
        <v>587.67</v>
      </c>
      <c r="X37" s="436">
        <f>ROUND(U37+W37,2)</f>
        <v>1496.11</v>
      </c>
      <c r="Y37" s="455">
        <v>1496.11</v>
      </c>
      <c r="Z37" s="455">
        <v>0</v>
      </c>
      <c r="AA37" s="64">
        <f>IF((Y37=Z37),0,(Y37-Z37))</f>
        <v>1496.11</v>
      </c>
      <c r="AB37" s="64" t="str">
        <f>IF((X37=AA37),"OK",(X37-AA37))</f>
        <v>OK</v>
      </c>
      <c r="AC37" s="73">
        <v>5.81</v>
      </c>
      <c r="AD37" s="63"/>
      <c r="AE37" s="73">
        <v>3.76</v>
      </c>
      <c r="AF37" s="79"/>
      <c r="AG37" s="206">
        <f t="shared" si="0"/>
        <v>9.57</v>
      </c>
      <c r="AH37" s="210">
        <v>9.57</v>
      </c>
    </row>
    <row r="38" spans="1:34" s="406" customFormat="1" ht="12.75">
      <c r="A38" s="106" t="s">
        <v>289</v>
      </c>
      <c r="B38" s="107" t="s">
        <v>112</v>
      </c>
      <c r="C38" s="587" t="s">
        <v>111</v>
      </c>
      <c r="D38" s="587"/>
      <c r="E38" s="587"/>
      <c r="F38" s="587"/>
      <c r="G38" s="587"/>
      <c r="H38" s="587"/>
      <c r="I38" s="587"/>
      <c r="J38" s="69">
        <v>24.24</v>
      </c>
      <c r="K38" s="109" t="s">
        <v>63</v>
      </c>
      <c r="L38" s="71"/>
      <c r="M38" s="71"/>
      <c r="N38" s="71"/>
      <c r="O38" s="71"/>
      <c r="P38" s="71"/>
      <c r="Q38" s="71"/>
      <c r="R38" s="71"/>
      <c r="S38" s="71"/>
      <c r="T38" s="435">
        <v>34.13325082508251</v>
      </c>
      <c r="U38" s="435">
        <f>J38*T38</f>
        <v>827.3900000000001</v>
      </c>
      <c r="V38" s="435">
        <v>23.10726072607261</v>
      </c>
      <c r="W38" s="435">
        <f>(V38*J38)</f>
        <v>560.12</v>
      </c>
      <c r="X38" s="436">
        <f>ROUND(U38+W38,2)</f>
        <v>1387.51</v>
      </c>
      <c r="Y38" s="455">
        <v>1387.51</v>
      </c>
      <c r="Z38" s="455">
        <v>0</v>
      </c>
      <c r="AA38" s="64">
        <f>IF((Y38=Z38),0,(Y38-Z38))</f>
        <v>1387.51</v>
      </c>
      <c r="AB38" s="64" t="str">
        <f>IF((X38=AA38),"OK",(X38-AA38))</f>
        <v>OK</v>
      </c>
      <c r="AC38" s="75">
        <f>34.94+0.13</f>
        <v>35.07</v>
      </c>
      <c r="AD38" s="63"/>
      <c r="AE38" s="73">
        <v>23.74</v>
      </c>
      <c r="AF38" s="79"/>
      <c r="AG38" s="206">
        <f t="shared" si="0"/>
        <v>58.81</v>
      </c>
      <c r="AH38" s="210">
        <v>58.81</v>
      </c>
    </row>
    <row r="39" spans="1:34" s="406" customFormat="1" ht="12.75">
      <c r="A39" s="106" t="s">
        <v>543</v>
      </c>
      <c r="B39" s="102" t="s">
        <v>124</v>
      </c>
      <c r="C39" s="588" t="s">
        <v>123</v>
      </c>
      <c r="D39" s="588"/>
      <c r="E39" s="588"/>
      <c r="F39" s="588"/>
      <c r="G39" s="588"/>
      <c r="H39" s="588"/>
      <c r="I39" s="588"/>
      <c r="J39" s="109">
        <v>31.51</v>
      </c>
      <c r="K39" s="81" t="s">
        <v>63</v>
      </c>
      <c r="L39" s="75"/>
      <c r="M39" s="75"/>
      <c r="N39" s="75"/>
      <c r="O39" s="75"/>
      <c r="P39" s="110"/>
      <c r="Q39" s="75"/>
      <c r="R39" s="75"/>
      <c r="S39" s="75"/>
      <c r="T39" s="435">
        <v>0.6791494763567121</v>
      </c>
      <c r="U39" s="435">
        <f>J39*T39</f>
        <v>21.4</v>
      </c>
      <c r="V39" s="435">
        <v>2.09330371310695</v>
      </c>
      <c r="W39" s="435">
        <f>(V39*J39)</f>
        <v>65.96</v>
      </c>
      <c r="X39" s="436">
        <f>ROUND(U39+W39,2)</f>
        <v>87.36</v>
      </c>
      <c r="Y39" s="455">
        <v>87.35</v>
      </c>
      <c r="Z39" s="455">
        <v>0</v>
      </c>
      <c r="AA39" s="64">
        <f>IF((Y39=Z39),0,(Y39-Z39))</f>
        <v>87.35</v>
      </c>
      <c r="AB39" s="64">
        <f>IF((X39=AA39),"OK",(X39-AA39))</f>
        <v>0.010000000000005116</v>
      </c>
      <c r="AC39" s="73">
        <v>0.7</v>
      </c>
      <c r="AD39" s="63"/>
      <c r="AE39" s="75">
        <v>2.15</v>
      </c>
      <c r="AF39" s="79"/>
      <c r="AG39" s="206">
        <f t="shared" si="0"/>
        <v>2.8499999999999996</v>
      </c>
      <c r="AH39" s="210">
        <v>2.85</v>
      </c>
    </row>
    <row r="40" spans="1:34" s="407" customFormat="1" ht="12.75">
      <c r="A40" s="98" t="s">
        <v>302</v>
      </c>
      <c r="B40" s="663" t="s">
        <v>115</v>
      </c>
      <c r="C40" s="664"/>
      <c r="D40" s="664"/>
      <c r="E40" s="664"/>
      <c r="F40" s="664"/>
      <c r="G40" s="664"/>
      <c r="H40" s="664"/>
      <c r="I40" s="665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437"/>
      <c r="U40" s="433">
        <f>U41+U44</f>
        <v>10426.870178147268</v>
      </c>
      <c r="V40" s="437"/>
      <c r="W40" s="433">
        <f>W41+W44</f>
        <v>6181.8331116389545</v>
      </c>
      <c r="X40" s="434">
        <f>W40+U40</f>
        <v>16608.703289786223</v>
      </c>
      <c r="Y40" s="454"/>
      <c r="Z40" s="454"/>
      <c r="AA40" s="454"/>
      <c r="AB40" s="408"/>
      <c r="AC40" s="207" t="s">
        <v>395</v>
      </c>
      <c r="AD40" s="115"/>
      <c r="AE40" s="207" t="s">
        <v>396</v>
      </c>
      <c r="AF40" s="114"/>
      <c r="AG40" s="205" t="s">
        <v>486</v>
      </c>
      <c r="AH40" s="209" t="s">
        <v>492</v>
      </c>
    </row>
    <row r="41" spans="1:34" s="410" customFormat="1" ht="12.75">
      <c r="A41" s="104" t="s">
        <v>303</v>
      </c>
      <c r="B41" s="685" t="s">
        <v>304</v>
      </c>
      <c r="C41" s="686"/>
      <c r="D41" s="686"/>
      <c r="E41" s="686"/>
      <c r="F41" s="686"/>
      <c r="G41" s="686"/>
      <c r="H41" s="686"/>
      <c r="I41" s="687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438"/>
      <c r="U41" s="439">
        <f>SUM(U42:U43)</f>
        <v>0</v>
      </c>
      <c r="V41" s="438"/>
      <c r="W41" s="439">
        <f>SUM(W42:W43)</f>
        <v>0</v>
      </c>
      <c r="X41" s="440">
        <f>U41+W41</f>
        <v>0</v>
      </c>
      <c r="Y41" s="456"/>
      <c r="Z41" s="456"/>
      <c r="AA41" s="456"/>
      <c r="AB41" s="409"/>
      <c r="AC41" s="78"/>
      <c r="AD41" s="409"/>
      <c r="AE41" s="78"/>
      <c r="AF41" s="116"/>
      <c r="AG41" s="206"/>
      <c r="AH41" s="215"/>
    </row>
    <row r="42" spans="1:34" s="406" customFormat="1" ht="12.75" customHeight="1">
      <c r="A42" s="106" t="s">
        <v>480</v>
      </c>
      <c r="B42" s="107" t="s">
        <v>214</v>
      </c>
      <c r="C42" s="568" t="s">
        <v>106</v>
      </c>
      <c r="D42" s="568"/>
      <c r="E42" s="568"/>
      <c r="F42" s="568"/>
      <c r="G42" s="568"/>
      <c r="H42" s="568"/>
      <c r="I42" s="568"/>
      <c r="J42" s="69">
        <v>0</v>
      </c>
      <c r="K42" s="76" t="s">
        <v>63</v>
      </c>
      <c r="L42" s="70"/>
      <c r="M42" s="70"/>
      <c r="N42" s="70"/>
      <c r="O42" s="70"/>
      <c r="P42" s="70"/>
      <c r="Q42" s="70"/>
      <c r="R42" s="70"/>
      <c r="S42" s="70"/>
      <c r="T42" s="435">
        <v>0.8948817332538261</v>
      </c>
      <c r="U42" s="435">
        <f>J42*T42</f>
        <v>0</v>
      </c>
      <c r="V42" s="435">
        <v>0.2956271119061816</v>
      </c>
      <c r="W42" s="435">
        <f>(V42*J42)</f>
        <v>0</v>
      </c>
      <c r="X42" s="436">
        <f>ROUND(U42+W42,2)</f>
        <v>0</v>
      </c>
      <c r="Y42" s="455">
        <v>1197.89</v>
      </c>
      <c r="Z42" s="455">
        <v>1197.89</v>
      </c>
      <c r="AA42" s="64">
        <f>IF((Y42=Z42),0,(Y42-Z42))</f>
        <v>0</v>
      </c>
      <c r="AB42" s="64" t="str">
        <f>IF((X42=AA42),"OK",(X42-AA42))</f>
        <v>OK</v>
      </c>
      <c r="AC42" s="72">
        <f>0.57+0.35</f>
        <v>0.9199999999999999</v>
      </c>
      <c r="AD42" s="63"/>
      <c r="AE42" s="72">
        <v>0.3</v>
      </c>
      <c r="AF42" s="79"/>
      <c r="AG42" s="206">
        <f t="shared" si="0"/>
        <v>1.22</v>
      </c>
      <c r="AH42" s="210">
        <v>1.22</v>
      </c>
    </row>
    <row r="43" spans="1:34" s="406" customFormat="1" ht="19.5" customHeight="1">
      <c r="A43" s="106" t="s">
        <v>481</v>
      </c>
      <c r="B43" s="107" t="s">
        <v>306</v>
      </c>
      <c r="C43" s="568" t="s">
        <v>307</v>
      </c>
      <c r="D43" s="568"/>
      <c r="E43" s="568"/>
      <c r="F43" s="568"/>
      <c r="G43" s="568"/>
      <c r="H43" s="568"/>
      <c r="I43" s="568"/>
      <c r="J43" s="69">
        <v>0</v>
      </c>
      <c r="K43" s="109" t="s">
        <v>63</v>
      </c>
      <c r="L43" s="71"/>
      <c r="M43" s="71"/>
      <c r="N43" s="71"/>
      <c r="O43" s="71"/>
      <c r="P43" s="71"/>
      <c r="Q43" s="71"/>
      <c r="R43" s="71"/>
      <c r="S43" s="71"/>
      <c r="T43" s="435">
        <v>41.46809829059829</v>
      </c>
      <c r="U43" s="435">
        <f>J43*T43</f>
        <v>0</v>
      </c>
      <c r="V43" s="435">
        <v>8.804978632478631</v>
      </c>
      <c r="W43" s="435">
        <f>(V43*J43)</f>
        <v>0</v>
      </c>
      <c r="X43" s="436">
        <f>ROUND(U43+W43,2)</f>
        <v>0</v>
      </c>
      <c r="Y43" s="455">
        <v>47055.6</v>
      </c>
      <c r="Z43" s="455">
        <v>47055.6</v>
      </c>
      <c r="AA43" s="64">
        <f>IF((Y43=Z43),0,(Y43-Z43))</f>
        <v>0</v>
      </c>
      <c r="AB43" s="64" t="str">
        <f>IF((X43=AA43),"OK",(X43-AA43))</f>
        <v>OK</v>
      </c>
      <c r="AC43" s="73">
        <f>42.38+0.23</f>
        <v>42.61</v>
      </c>
      <c r="AD43" s="63"/>
      <c r="AE43" s="73">
        <v>9.05</v>
      </c>
      <c r="AF43" s="79"/>
      <c r="AG43" s="206">
        <f t="shared" si="0"/>
        <v>51.66</v>
      </c>
      <c r="AH43" s="210">
        <v>51.66</v>
      </c>
    </row>
    <row r="44" spans="1:34" s="410" customFormat="1" ht="12.75">
      <c r="A44" s="104" t="s">
        <v>308</v>
      </c>
      <c r="B44" s="662" t="s">
        <v>108</v>
      </c>
      <c r="C44" s="662"/>
      <c r="D44" s="662"/>
      <c r="E44" s="662"/>
      <c r="F44" s="662"/>
      <c r="G44" s="662"/>
      <c r="H44" s="662"/>
      <c r="I44" s="662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438"/>
      <c r="U44" s="439">
        <f>SUM(U45:U49)</f>
        <v>10426.870178147268</v>
      </c>
      <c r="V44" s="438"/>
      <c r="W44" s="439">
        <f>SUM(W45:W49)</f>
        <v>6181.8331116389545</v>
      </c>
      <c r="X44" s="440">
        <f>U44+W44</f>
        <v>16608.703289786223</v>
      </c>
      <c r="Y44" s="456"/>
      <c r="Z44" s="456"/>
      <c r="AA44" s="456"/>
      <c r="AB44" s="409"/>
      <c r="AC44" s="78"/>
      <c r="AD44" s="409"/>
      <c r="AE44" s="78"/>
      <c r="AF44" s="116"/>
      <c r="AG44" s="206"/>
      <c r="AH44" s="215"/>
    </row>
    <row r="45" spans="1:34" s="406" customFormat="1" ht="12.75">
      <c r="A45" s="106" t="s">
        <v>309</v>
      </c>
      <c r="B45" s="107" t="s">
        <v>542</v>
      </c>
      <c r="C45" s="568" t="s">
        <v>109</v>
      </c>
      <c r="D45" s="568"/>
      <c r="E45" s="568"/>
      <c r="F45" s="568"/>
      <c r="G45" s="568"/>
      <c r="H45" s="568"/>
      <c r="I45" s="568"/>
      <c r="J45" s="69">
        <f>16.84-13.47</f>
        <v>3.369999999999999</v>
      </c>
      <c r="K45" s="109" t="s">
        <v>64</v>
      </c>
      <c r="L45" s="71"/>
      <c r="M45" s="71"/>
      <c r="N45" s="71"/>
      <c r="O45" s="71"/>
      <c r="P45" s="71"/>
      <c r="Q45" s="71"/>
      <c r="R45" s="71"/>
      <c r="S45" s="71"/>
      <c r="T45" s="435">
        <v>293.0890736342043</v>
      </c>
      <c r="U45" s="435">
        <f>J45*T45</f>
        <v>987.7101781472682</v>
      </c>
      <c r="V45" s="435">
        <v>22.555819477434678</v>
      </c>
      <c r="W45" s="435">
        <f>(V45*J45)</f>
        <v>76.01311163895485</v>
      </c>
      <c r="X45" s="436">
        <f>ROUND(U45+W45,2)</f>
        <v>1063.72</v>
      </c>
      <c r="Y45" s="455">
        <v>5315.46</v>
      </c>
      <c r="Z45" s="455">
        <v>4252.37</v>
      </c>
      <c r="AA45" s="64">
        <f>IF((Y45=Z45),0,(Y45-Z45))</f>
        <v>1063.0900000000001</v>
      </c>
      <c r="AB45" s="467">
        <f>IF((X45=AA45),"OK",(X45-AA45))</f>
        <v>0.6299999999998818</v>
      </c>
      <c r="AC45" s="73">
        <f>300.9+0.14+0.11</f>
        <v>301.15</v>
      </c>
      <c r="AD45" s="63"/>
      <c r="AE45" s="73">
        <v>23.18</v>
      </c>
      <c r="AF45" s="79"/>
      <c r="AG45" s="206">
        <f>AE45+AC45</f>
        <v>324.33</v>
      </c>
      <c r="AH45" s="210">
        <v>324.33</v>
      </c>
    </row>
    <row r="46" spans="1:34" s="406" customFormat="1" ht="19.5" customHeight="1">
      <c r="A46" s="106" t="s">
        <v>310</v>
      </c>
      <c r="B46" s="107" t="s">
        <v>216</v>
      </c>
      <c r="C46" s="568" t="s">
        <v>215</v>
      </c>
      <c r="D46" s="568"/>
      <c r="E46" s="568"/>
      <c r="F46" s="568"/>
      <c r="G46" s="568"/>
      <c r="H46" s="568"/>
      <c r="I46" s="568"/>
      <c r="J46" s="69">
        <v>687.96</v>
      </c>
      <c r="K46" s="109" t="s">
        <v>66</v>
      </c>
      <c r="L46" s="71"/>
      <c r="M46" s="71"/>
      <c r="N46" s="71"/>
      <c r="O46" s="71"/>
      <c r="P46" s="71"/>
      <c r="Q46" s="71"/>
      <c r="R46" s="71"/>
      <c r="S46" s="71"/>
      <c r="T46" s="435">
        <v>5.608974358974359</v>
      </c>
      <c r="U46" s="435">
        <f>J46*T46</f>
        <v>3858.75</v>
      </c>
      <c r="V46" s="435">
        <v>2.5408163265306123</v>
      </c>
      <c r="W46" s="435">
        <f>(V46*J46)</f>
        <v>1747.98</v>
      </c>
      <c r="X46" s="466">
        <f>ROUND(U46+W46,2)</f>
        <v>5606.73</v>
      </c>
      <c r="Y46" s="455">
        <v>5606.74</v>
      </c>
      <c r="Z46" s="455">
        <v>0</v>
      </c>
      <c r="AA46" s="64">
        <f>IF((Y46=Z46),0,(Y46-Z46))</f>
        <v>5606.74</v>
      </c>
      <c r="AB46" s="467">
        <f>IF((X46=AA46),"OK",(X46-AA46))</f>
        <v>-0.010000000000218279</v>
      </c>
      <c r="AC46" s="73">
        <v>5.76</v>
      </c>
      <c r="AD46" s="63"/>
      <c r="AE46" s="73">
        <v>2.61</v>
      </c>
      <c r="AF46" s="79"/>
      <c r="AG46" s="206">
        <f t="shared" si="0"/>
        <v>8.37</v>
      </c>
      <c r="AH46" s="210">
        <v>8.37</v>
      </c>
    </row>
    <row r="47" spans="1:34" s="406" customFormat="1" ht="17.25" customHeight="1">
      <c r="A47" s="106" t="s">
        <v>121</v>
      </c>
      <c r="B47" s="107" t="s">
        <v>320</v>
      </c>
      <c r="C47" s="569" t="s">
        <v>318</v>
      </c>
      <c r="D47" s="570"/>
      <c r="E47" s="570"/>
      <c r="F47" s="570"/>
      <c r="G47" s="570"/>
      <c r="H47" s="570"/>
      <c r="I47" s="571"/>
      <c r="J47" s="69">
        <v>95.49</v>
      </c>
      <c r="K47" s="109" t="s">
        <v>66</v>
      </c>
      <c r="L47" s="71"/>
      <c r="M47" s="71"/>
      <c r="N47" s="71"/>
      <c r="O47" s="71"/>
      <c r="P47" s="71"/>
      <c r="Q47" s="71"/>
      <c r="R47" s="71"/>
      <c r="S47" s="71"/>
      <c r="T47" s="435">
        <v>5.656927426955702</v>
      </c>
      <c r="U47" s="435">
        <f>J47*T47</f>
        <v>540.18</v>
      </c>
      <c r="V47" s="435">
        <v>3.659440779139177</v>
      </c>
      <c r="W47" s="435">
        <f>(V47*J47)</f>
        <v>349.44</v>
      </c>
      <c r="X47" s="436">
        <f>ROUND(U47+W47,2)</f>
        <v>889.62</v>
      </c>
      <c r="Y47" s="455">
        <v>889.62</v>
      </c>
      <c r="Z47" s="455">
        <v>0</v>
      </c>
      <c r="AA47" s="64">
        <f>IF((Y47=Z47),0,(Y47-Z47))</f>
        <v>889.62</v>
      </c>
      <c r="AB47" s="64" t="str">
        <f>IF((X47=AA47),"OK",(X47-AA47))</f>
        <v>OK</v>
      </c>
      <c r="AC47" s="73">
        <v>5.81</v>
      </c>
      <c r="AD47" s="63"/>
      <c r="AE47" s="73">
        <v>3.76</v>
      </c>
      <c r="AF47" s="79"/>
      <c r="AG47" s="206">
        <f>AE47+AC47</f>
        <v>9.57</v>
      </c>
      <c r="AH47" s="210">
        <v>9.57</v>
      </c>
    </row>
    <row r="48" spans="1:34" s="406" customFormat="1" ht="12.75">
      <c r="A48" s="106" t="s">
        <v>311</v>
      </c>
      <c r="B48" s="107" t="s">
        <v>112</v>
      </c>
      <c r="C48" s="587" t="s">
        <v>111</v>
      </c>
      <c r="D48" s="587"/>
      <c r="E48" s="587"/>
      <c r="F48" s="587"/>
      <c r="G48" s="587"/>
      <c r="H48" s="587"/>
      <c r="I48" s="587"/>
      <c r="J48" s="69">
        <v>140.4</v>
      </c>
      <c r="K48" s="109" t="s">
        <v>63</v>
      </c>
      <c r="L48" s="71"/>
      <c r="M48" s="71"/>
      <c r="N48" s="71"/>
      <c r="O48" s="71"/>
      <c r="P48" s="71"/>
      <c r="Q48" s="71"/>
      <c r="R48" s="71"/>
      <c r="S48" s="71"/>
      <c r="T48" s="435">
        <v>34.13326210826211</v>
      </c>
      <c r="U48" s="435">
        <f>J48*T48</f>
        <v>4792.31</v>
      </c>
      <c r="V48" s="435">
        <v>23.10705128205128</v>
      </c>
      <c r="W48" s="435">
        <f>(V48*J48)</f>
        <v>3244.23</v>
      </c>
      <c r="X48" s="466">
        <f>ROUND(U48+W48,2)</f>
        <v>8036.54</v>
      </c>
      <c r="Y48" s="455">
        <v>8036.55</v>
      </c>
      <c r="Z48" s="455">
        <v>0</v>
      </c>
      <c r="AA48" s="64">
        <f>IF((Y48=Z48),0,(Y48-Z48))</f>
        <v>8036.55</v>
      </c>
      <c r="AB48" s="467">
        <f>IF((X48=AA48),"OK",(X48-AA48))</f>
        <v>-0.010000000000218279</v>
      </c>
      <c r="AC48" s="73">
        <f>34.94+0.03+0.1</f>
        <v>35.07</v>
      </c>
      <c r="AD48" s="63"/>
      <c r="AE48" s="73">
        <v>23.74</v>
      </c>
      <c r="AF48" s="79"/>
      <c r="AG48" s="206">
        <f t="shared" si="0"/>
        <v>58.81</v>
      </c>
      <c r="AH48" s="210">
        <v>58.81</v>
      </c>
    </row>
    <row r="49" spans="1:34" s="406" customFormat="1" ht="12.75">
      <c r="A49" s="106" t="s">
        <v>482</v>
      </c>
      <c r="B49" s="102" t="s">
        <v>124</v>
      </c>
      <c r="C49" s="588" t="s">
        <v>123</v>
      </c>
      <c r="D49" s="588"/>
      <c r="E49" s="588"/>
      <c r="F49" s="588"/>
      <c r="G49" s="588"/>
      <c r="H49" s="588"/>
      <c r="I49" s="588"/>
      <c r="J49" s="109">
        <v>365.04</v>
      </c>
      <c r="K49" s="81" t="s">
        <v>63</v>
      </c>
      <c r="L49" s="75"/>
      <c r="M49" s="75"/>
      <c r="N49" s="75"/>
      <c r="O49" s="75"/>
      <c r="P49" s="110"/>
      <c r="Q49" s="75"/>
      <c r="R49" s="75"/>
      <c r="S49" s="75"/>
      <c r="T49" s="435">
        <v>0.6791584483892176</v>
      </c>
      <c r="U49" s="435">
        <f>J49*T49</f>
        <v>247.92</v>
      </c>
      <c r="V49" s="435">
        <v>2.0933870260793337</v>
      </c>
      <c r="W49" s="435">
        <f>(V49*J49)</f>
        <v>764.17</v>
      </c>
      <c r="X49" s="466">
        <f>ROUND(U49+W49,2)</f>
        <v>1012.09</v>
      </c>
      <c r="Y49" s="455">
        <v>1012.08</v>
      </c>
      <c r="Z49" s="455">
        <v>0</v>
      </c>
      <c r="AA49" s="64">
        <f>IF((Y49=Z49),0,(Y49-Z49))</f>
        <v>1012.08</v>
      </c>
      <c r="AB49" s="467">
        <f>IF((X49=AA49),"OK",(X49-AA49))</f>
        <v>0.009999999999990905</v>
      </c>
      <c r="AC49" s="75">
        <v>0.7</v>
      </c>
      <c r="AD49" s="63"/>
      <c r="AE49" s="75">
        <v>2.15</v>
      </c>
      <c r="AF49" s="79"/>
      <c r="AG49" s="206">
        <f t="shared" si="0"/>
        <v>2.8499999999999996</v>
      </c>
      <c r="AH49" s="210">
        <v>2.85</v>
      </c>
    </row>
    <row r="50" spans="1:34" s="407" customFormat="1" ht="12.75">
      <c r="A50" s="123">
        <v>4</v>
      </c>
      <c r="B50" s="575" t="s">
        <v>288</v>
      </c>
      <c r="C50" s="575"/>
      <c r="D50" s="575"/>
      <c r="E50" s="575"/>
      <c r="F50" s="575"/>
      <c r="G50" s="575"/>
      <c r="H50" s="575"/>
      <c r="I50" s="575"/>
      <c r="J50" s="111"/>
      <c r="K50" s="99"/>
      <c r="L50" s="99"/>
      <c r="M50" s="99"/>
      <c r="N50" s="99"/>
      <c r="O50" s="99"/>
      <c r="P50" s="99"/>
      <c r="Q50" s="99"/>
      <c r="R50" s="99"/>
      <c r="S50" s="99"/>
      <c r="T50" s="437"/>
      <c r="U50" s="433">
        <f>U51+U57+U65</f>
        <v>223057.68</v>
      </c>
      <c r="V50" s="433"/>
      <c r="W50" s="433">
        <f>W51+W57+W65</f>
        <v>56406.979999999996</v>
      </c>
      <c r="X50" s="434">
        <f>X51+X57+X65</f>
        <v>279464.66</v>
      </c>
      <c r="Y50" s="454"/>
      <c r="Z50" s="454"/>
      <c r="AA50" s="454"/>
      <c r="AB50" s="408"/>
      <c r="AC50" s="207" t="s">
        <v>395</v>
      </c>
      <c r="AD50" s="115"/>
      <c r="AE50" s="207" t="s">
        <v>396</v>
      </c>
      <c r="AF50" s="114"/>
      <c r="AG50" s="205" t="s">
        <v>486</v>
      </c>
      <c r="AH50" s="209" t="s">
        <v>492</v>
      </c>
    </row>
    <row r="51" spans="1:34" s="410" customFormat="1" ht="12.75">
      <c r="A51" s="104" t="s">
        <v>323</v>
      </c>
      <c r="B51" s="662" t="s">
        <v>275</v>
      </c>
      <c r="C51" s="662"/>
      <c r="D51" s="662"/>
      <c r="E51" s="662"/>
      <c r="F51" s="662"/>
      <c r="G51" s="662"/>
      <c r="H51" s="662"/>
      <c r="I51" s="662"/>
      <c r="J51" s="112"/>
      <c r="K51" s="105"/>
      <c r="L51" s="105"/>
      <c r="M51" s="105"/>
      <c r="N51" s="105"/>
      <c r="O51" s="105"/>
      <c r="P51" s="105"/>
      <c r="Q51" s="105"/>
      <c r="R51" s="105"/>
      <c r="S51" s="105"/>
      <c r="T51" s="438"/>
      <c r="U51" s="439">
        <f>SUM(U52:U56)</f>
        <v>104826.01</v>
      </c>
      <c r="V51" s="438"/>
      <c r="W51" s="439">
        <f>SUM(W52:W56)</f>
        <v>32567.18</v>
      </c>
      <c r="X51" s="440">
        <f>U51+W51</f>
        <v>137393.19</v>
      </c>
      <c r="Y51" s="456"/>
      <c r="Z51" s="456"/>
      <c r="AA51" s="456"/>
      <c r="AB51" s="409"/>
      <c r="AC51" s="78"/>
      <c r="AD51" s="409"/>
      <c r="AE51" s="78"/>
      <c r="AF51" s="116"/>
      <c r="AG51" s="206"/>
      <c r="AH51" s="215"/>
    </row>
    <row r="52" spans="1:34" s="406" customFormat="1" ht="12.75">
      <c r="A52" s="106" t="s">
        <v>324</v>
      </c>
      <c r="B52" s="107" t="s">
        <v>214</v>
      </c>
      <c r="C52" s="568" t="s">
        <v>106</v>
      </c>
      <c r="D52" s="568"/>
      <c r="E52" s="568"/>
      <c r="F52" s="568"/>
      <c r="G52" s="568"/>
      <c r="H52" s="568"/>
      <c r="I52" s="568"/>
      <c r="J52" s="69">
        <v>1664</v>
      </c>
      <c r="K52" s="76" t="s">
        <v>63</v>
      </c>
      <c r="L52" s="70"/>
      <c r="M52" s="70"/>
      <c r="N52" s="70"/>
      <c r="O52" s="70"/>
      <c r="P52" s="70"/>
      <c r="Q52" s="70"/>
      <c r="R52" s="70"/>
      <c r="S52" s="70"/>
      <c r="T52" s="435">
        <v>0.8948798076923077</v>
      </c>
      <c r="U52" s="435">
        <f>J52*T52</f>
        <v>1489.08</v>
      </c>
      <c r="V52" s="435">
        <v>0.29563100961538463</v>
      </c>
      <c r="W52" s="435">
        <f>(V52*J52)</f>
        <v>491.93</v>
      </c>
      <c r="X52" s="436">
        <f>ROUND(U52+W52,2)</f>
        <v>1981.01</v>
      </c>
      <c r="Y52" s="455">
        <v>1981.01</v>
      </c>
      <c r="Z52" s="455">
        <v>0</v>
      </c>
      <c r="AA52" s="64">
        <f>IF((Y52=Z52),0,(Y52-Z52))</f>
        <v>1981.01</v>
      </c>
      <c r="AB52" s="64" t="str">
        <f>IF((X52=AA52),"OK",(X52-AA52))</f>
        <v>OK</v>
      </c>
      <c r="AC52" s="72">
        <f>0.57+0.35</f>
        <v>0.9199999999999999</v>
      </c>
      <c r="AD52" s="63"/>
      <c r="AE52" s="72">
        <v>0.3</v>
      </c>
      <c r="AF52" s="79"/>
      <c r="AG52" s="206">
        <f t="shared" si="0"/>
        <v>1.22</v>
      </c>
      <c r="AH52" s="210">
        <v>1.22</v>
      </c>
    </row>
    <row r="53" spans="1:34" s="406" customFormat="1" ht="19.5" customHeight="1">
      <c r="A53" s="106" t="s">
        <v>325</v>
      </c>
      <c r="B53" s="108" t="s">
        <v>113</v>
      </c>
      <c r="C53" s="569" t="s">
        <v>233</v>
      </c>
      <c r="D53" s="570"/>
      <c r="E53" s="570"/>
      <c r="F53" s="570"/>
      <c r="G53" s="570"/>
      <c r="H53" s="570"/>
      <c r="I53" s="571"/>
      <c r="J53" s="69">
        <v>1664</v>
      </c>
      <c r="K53" s="76" t="s">
        <v>63</v>
      </c>
      <c r="L53" s="70"/>
      <c r="M53" s="70"/>
      <c r="N53" s="70"/>
      <c r="O53" s="70"/>
      <c r="P53" s="70"/>
      <c r="Q53" s="70"/>
      <c r="R53" s="70"/>
      <c r="S53" s="70"/>
      <c r="T53" s="435">
        <v>1.5260877403846154</v>
      </c>
      <c r="U53" s="435">
        <f>J53*T53</f>
        <v>2539.41</v>
      </c>
      <c r="V53" s="435">
        <v>2.7245913461538462</v>
      </c>
      <c r="W53" s="435">
        <f>(V53*J53)</f>
        <v>4533.72</v>
      </c>
      <c r="X53" s="436">
        <f>ROUND(U53+W53,2)</f>
        <v>7073.13</v>
      </c>
      <c r="Y53" s="455">
        <v>7073.13</v>
      </c>
      <c r="Z53" s="455">
        <v>0</v>
      </c>
      <c r="AA53" s="64">
        <f>IF((Y53=Z53),0,(Y53-Z53))</f>
        <v>7073.13</v>
      </c>
      <c r="AB53" s="64" t="str">
        <f>IF((X53=AA53),"OK",(X53-AA53))</f>
        <v>OK</v>
      </c>
      <c r="AC53" s="70">
        <v>1.57</v>
      </c>
      <c r="AD53" s="63"/>
      <c r="AE53" s="70">
        <v>2.8</v>
      </c>
      <c r="AF53" s="79"/>
      <c r="AG53" s="206">
        <f t="shared" si="0"/>
        <v>4.37</v>
      </c>
      <c r="AH53" s="210">
        <v>4.37</v>
      </c>
    </row>
    <row r="54" spans="1:34" s="406" customFormat="1" ht="12.75">
      <c r="A54" s="106" t="s">
        <v>326</v>
      </c>
      <c r="B54" s="108" t="s">
        <v>571</v>
      </c>
      <c r="C54" s="569" t="s">
        <v>572</v>
      </c>
      <c r="D54" s="570"/>
      <c r="E54" s="570"/>
      <c r="F54" s="570"/>
      <c r="G54" s="570"/>
      <c r="H54" s="570"/>
      <c r="I54" s="571"/>
      <c r="J54" s="69">
        <v>1500</v>
      </c>
      <c r="K54" s="76" t="s">
        <v>63</v>
      </c>
      <c r="L54" s="70"/>
      <c r="M54" s="70"/>
      <c r="N54" s="70"/>
      <c r="O54" s="70"/>
      <c r="P54" s="70"/>
      <c r="Q54" s="70"/>
      <c r="R54" s="70"/>
      <c r="S54" s="70"/>
      <c r="T54" s="435">
        <v>7.774273333333333</v>
      </c>
      <c r="U54" s="435">
        <f>J54*T54</f>
        <v>11661.41</v>
      </c>
      <c r="V54" s="435">
        <v>3.97902</v>
      </c>
      <c r="W54" s="435">
        <f>(V54*J54)</f>
        <v>5968.53</v>
      </c>
      <c r="X54" s="436">
        <f>ROUND(U54+W54,2)</f>
        <v>17629.94</v>
      </c>
      <c r="Y54" s="455">
        <v>17629.94</v>
      </c>
      <c r="Z54" s="455">
        <v>0</v>
      </c>
      <c r="AA54" s="64">
        <f>IF((Y54=Z54),0,(Y54-Z54))</f>
        <v>17629.94</v>
      </c>
      <c r="AB54" s="64" t="str">
        <f>IF((X54=AA54),"OK",(X54-AA54))</f>
        <v>OK</v>
      </c>
      <c r="AC54" s="70">
        <f>7.92+0.03+0.04</f>
        <v>7.99</v>
      </c>
      <c r="AD54" s="63"/>
      <c r="AE54" s="70">
        <v>4.09</v>
      </c>
      <c r="AF54" s="79"/>
      <c r="AG54" s="206">
        <f t="shared" si="0"/>
        <v>12.08</v>
      </c>
      <c r="AH54" s="210">
        <v>12.08</v>
      </c>
    </row>
    <row r="55" spans="1:34" s="412" customFormat="1" ht="13.5" customHeight="1">
      <c r="A55" s="106" t="s">
        <v>328</v>
      </c>
      <c r="B55" s="113" t="s">
        <v>135</v>
      </c>
      <c r="C55" s="572" t="s">
        <v>519</v>
      </c>
      <c r="D55" s="573"/>
      <c r="E55" s="573"/>
      <c r="F55" s="573"/>
      <c r="G55" s="573"/>
      <c r="H55" s="573"/>
      <c r="I55" s="574"/>
      <c r="J55" s="225">
        <v>1500</v>
      </c>
      <c r="K55" s="219" t="s">
        <v>63</v>
      </c>
      <c r="L55" s="232"/>
      <c r="M55" s="232"/>
      <c r="N55" s="232"/>
      <c r="O55" s="232"/>
      <c r="P55" s="232"/>
      <c r="Q55" s="232"/>
      <c r="R55" s="232"/>
      <c r="S55" s="232"/>
      <c r="T55" s="435">
        <v>57.528</v>
      </c>
      <c r="U55" s="435">
        <f>J55*T55</f>
        <v>86292</v>
      </c>
      <c r="V55" s="435">
        <v>14.382</v>
      </c>
      <c r="W55" s="435">
        <f>(V55*J55)</f>
        <v>21573</v>
      </c>
      <c r="X55" s="436">
        <f>ROUND(U55+W55,2)</f>
        <v>107865</v>
      </c>
      <c r="Y55" s="455">
        <v>107865</v>
      </c>
      <c r="Z55" s="455">
        <v>0</v>
      </c>
      <c r="AA55" s="64">
        <f>IF((Y55=Z55),0,(Y55-Z55))</f>
        <v>107865</v>
      </c>
      <c r="AB55" s="64" t="str">
        <f>IF((X55=AA55),"OK",(X55-AA55))</f>
        <v>OK</v>
      </c>
      <c r="AC55" s="232">
        <f>90*0.8</f>
        <v>72</v>
      </c>
      <c r="AD55" s="411"/>
      <c r="AE55" s="232">
        <f>90*0.2</f>
        <v>18</v>
      </c>
      <c r="AF55" s="222"/>
      <c r="AG55" s="223">
        <f t="shared" si="0"/>
        <v>90</v>
      </c>
      <c r="AH55" s="224"/>
    </row>
    <row r="56" spans="1:34" s="406" customFormat="1" ht="30" customHeight="1">
      <c r="A56" s="106" t="s">
        <v>525</v>
      </c>
      <c r="B56" s="108" t="s">
        <v>487</v>
      </c>
      <c r="C56" s="568" t="s">
        <v>241</v>
      </c>
      <c r="D56" s="568"/>
      <c r="E56" s="568"/>
      <c r="F56" s="568"/>
      <c r="G56" s="568"/>
      <c r="H56" s="568"/>
      <c r="I56" s="568"/>
      <c r="J56" s="69">
        <v>1</v>
      </c>
      <c r="K56" s="76" t="s">
        <v>114</v>
      </c>
      <c r="L56" s="70"/>
      <c r="M56" s="70"/>
      <c r="N56" s="70"/>
      <c r="O56" s="70"/>
      <c r="P56" s="70"/>
      <c r="Q56" s="70"/>
      <c r="R56" s="70"/>
      <c r="S56" s="70"/>
      <c r="T56" s="435">
        <v>2844.11</v>
      </c>
      <c r="U56" s="435">
        <f>J56*T56</f>
        <v>2844.11</v>
      </c>
      <c r="V56" s="435">
        <v>0</v>
      </c>
      <c r="W56" s="435">
        <f>(V56*J56)</f>
        <v>0</v>
      </c>
      <c r="X56" s="436">
        <f>ROUND(U56+W56,2)</f>
        <v>2844.11</v>
      </c>
      <c r="Y56" s="455">
        <v>2844.11</v>
      </c>
      <c r="Z56" s="455">
        <v>0</v>
      </c>
      <c r="AA56" s="64">
        <f>IF((Y56=Z56),0,(Y56-Z56))</f>
        <v>2844.11</v>
      </c>
      <c r="AB56" s="64" t="str">
        <f>IF((X56=AA56),"OK",(X56-AA56))</f>
        <v>OK</v>
      </c>
      <c r="AC56" s="70">
        <v>2922.31</v>
      </c>
      <c r="AD56" s="63"/>
      <c r="AE56" s="70">
        <v>0</v>
      </c>
      <c r="AF56" s="79"/>
      <c r="AG56" s="206">
        <f t="shared" si="0"/>
        <v>2922.31</v>
      </c>
      <c r="AH56" s="210">
        <v>2922.31</v>
      </c>
    </row>
    <row r="57" spans="1:34" s="410" customFormat="1" ht="12.75">
      <c r="A57" s="104" t="s">
        <v>329</v>
      </c>
      <c r="B57" s="662" t="s">
        <v>226</v>
      </c>
      <c r="C57" s="662"/>
      <c r="D57" s="662"/>
      <c r="E57" s="662"/>
      <c r="F57" s="662"/>
      <c r="G57" s="662"/>
      <c r="H57" s="662"/>
      <c r="I57" s="662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438"/>
      <c r="U57" s="439">
        <f>SUM(U58:U64)</f>
        <v>15055.98</v>
      </c>
      <c r="V57" s="438"/>
      <c r="W57" s="439">
        <f>SUM(W58:W64)</f>
        <v>2206.1099999999997</v>
      </c>
      <c r="X57" s="440">
        <f>U57+W57</f>
        <v>17262.09</v>
      </c>
      <c r="Y57" s="456"/>
      <c r="Z57" s="456"/>
      <c r="AA57" s="456"/>
      <c r="AB57" s="409"/>
      <c r="AC57" s="78"/>
      <c r="AD57" s="409"/>
      <c r="AE57" s="78"/>
      <c r="AF57" s="116"/>
      <c r="AG57" s="206">
        <f t="shared" si="0"/>
        <v>0</v>
      </c>
      <c r="AH57" s="215"/>
    </row>
    <row r="58" spans="1:34" s="406" customFormat="1" ht="12.75">
      <c r="A58" s="106" t="s">
        <v>330</v>
      </c>
      <c r="B58" s="107" t="s">
        <v>228</v>
      </c>
      <c r="C58" s="587" t="s">
        <v>227</v>
      </c>
      <c r="D58" s="587"/>
      <c r="E58" s="587"/>
      <c r="F58" s="587"/>
      <c r="G58" s="587"/>
      <c r="H58" s="587"/>
      <c r="I58" s="587"/>
      <c r="J58" s="69">
        <v>6</v>
      </c>
      <c r="K58" s="109" t="s">
        <v>114</v>
      </c>
      <c r="L58" s="70"/>
      <c r="M58" s="70"/>
      <c r="N58" s="70"/>
      <c r="O58" s="70"/>
      <c r="P58" s="70"/>
      <c r="Q58" s="70"/>
      <c r="R58" s="70"/>
      <c r="S58" s="70"/>
      <c r="T58" s="435">
        <v>1322.21</v>
      </c>
      <c r="U58" s="435">
        <f aca="true" t="shared" si="2" ref="U58:U64">J58*T58</f>
        <v>7933.26</v>
      </c>
      <c r="V58" s="435">
        <v>92.10833333333333</v>
      </c>
      <c r="W58" s="435">
        <f aca="true" t="shared" si="3" ref="W58:W64">(V58*J58)</f>
        <v>552.65</v>
      </c>
      <c r="X58" s="436">
        <f aca="true" t="shared" si="4" ref="X58:X64">ROUND(U58+W58,2)</f>
        <v>8485.91</v>
      </c>
      <c r="Y58" s="455">
        <v>8485.91</v>
      </c>
      <c r="Z58" s="455">
        <v>0</v>
      </c>
      <c r="AA58" s="64">
        <f aca="true" t="shared" si="5" ref="AA58:AA64">IF((Y58=Z58),0,(Y58-Z58))</f>
        <v>8485.91</v>
      </c>
      <c r="AB58" s="64" t="str">
        <f aca="true" t="shared" si="6" ref="AB58:AB64">IF((X58=AA58),"OK",(X58-AA58))</f>
        <v>OK</v>
      </c>
      <c r="AC58" s="70">
        <f>1358.21+0.35</f>
        <v>1358.56</v>
      </c>
      <c r="AD58" s="63"/>
      <c r="AE58" s="70">
        <v>94.64</v>
      </c>
      <c r="AF58" s="79"/>
      <c r="AG58" s="206">
        <f t="shared" si="0"/>
        <v>1453.2</v>
      </c>
      <c r="AH58" s="216">
        <v>1453.2</v>
      </c>
    </row>
    <row r="59" spans="1:34" s="406" customFormat="1" ht="12.75">
      <c r="A59" s="106" t="s">
        <v>331</v>
      </c>
      <c r="B59" s="107" t="s">
        <v>499</v>
      </c>
      <c r="C59" s="565" t="s">
        <v>501</v>
      </c>
      <c r="D59" s="566"/>
      <c r="E59" s="566"/>
      <c r="F59" s="566"/>
      <c r="G59" s="566"/>
      <c r="H59" s="566"/>
      <c r="I59" s="567"/>
      <c r="J59" s="69">
        <v>0.11</v>
      </c>
      <c r="K59" s="109" t="s">
        <v>64</v>
      </c>
      <c r="L59" s="70"/>
      <c r="M59" s="70"/>
      <c r="N59" s="70"/>
      <c r="O59" s="70"/>
      <c r="P59" s="70"/>
      <c r="Q59" s="70"/>
      <c r="R59" s="70"/>
      <c r="S59" s="70"/>
      <c r="T59" s="465">
        <v>265.6363636363636</v>
      </c>
      <c r="U59" s="435">
        <f t="shared" si="2"/>
        <v>29.22</v>
      </c>
      <c r="V59" s="465">
        <v>142.45454545454544</v>
      </c>
      <c r="W59" s="435">
        <f t="shared" si="3"/>
        <v>15.669999999999998</v>
      </c>
      <c r="X59" s="436">
        <f t="shared" si="4"/>
        <v>44.89</v>
      </c>
      <c r="Y59" s="455">
        <v>44.89</v>
      </c>
      <c r="Z59" s="455">
        <v>0</v>
      </c>
      <c r="AA59" s="64">
        <f t="shared" si="5"/>
        <v>44.89</v>
      </c>
      <c r="AB59" s="64" t="str">
        <f t="shared" si="6"/>
        <v>OK</v>
      </c>
      <c r="AC59" s="70">
        <f>268.89+2.55+1.49</f>
        <v>272.93</v>
      </c>
      <c r="AD59" s="63"/>
      <c r="AE59" s="70">
        <v>146.4</v>
      </c>
      <c r="AF59" s="79"/>
      <c r="AG59" s="206">
        <f t="shared" si="0"/>
        <v>419.33000000000004</v>
      </c>
      <c r="AH59" s="216">
        <v>419.43</v>
      </c>
    </row>
    <row r="60" spans="1:34" s="406" customFormat="1" ht="12.75">
      <c r="A60" s="106" t="s">
        <v>332</v>
      </c>
      <c r="B60" s="107" t="s">
        <v>507</v>
      </c>
      <c r="C60" s="565" t="s">
        <v>508</v>
      </c>
      <c r="D60" s="566"/>
      <c r="E60" s="566"/>
      <c r="F60" s="566"/>
      <c r="G60" s="566"/>
      <c r="H60" s="566"/>
      <c r="I60" s="567"/>
      <c r="J60" s="69">
        <v>1.29</v>
      </c>
      <c r="K60" s="109" t="s">
        <v>64</v>
      </c>
      <c r="L60" s="70"/>
      <c r="M60" s="70"/>
      <c r="N60" s="70"/>
      <c r="O60" s="70"/>
      <c r="P60" s="70"/>
      <c r="Q60" s="70"/>
      <c r="R60" s="70"/>
      <c r="S60" s="70"/>
      <c r="T60" s="435">
        <v>23.162790697674417</v>
      </c>
      <c r="U60" s="435">
        <f t="shared" si="2"/>
        <v>29.88</v>
      </c>
      <c r="V60" s="435">
        <v>72.93798449612403</v>
      </c>
      <c r="W60" s="435">
        <f t="shared" si="3"/>
        <v>94.09</v>
      </c>
      <c r="X60" s="436">
        <f t="shared" si="4"/>
        <v>123.97</v>
      </c>
      <c r="Y60" s="455">
        <v>123.97</v>
      </c>
      <c r="Z60" s="455">
        <v>0</v>
      </c>
      <c r="AA60" s="64">
        <f t="shared" si="5"/>
        <v>123.97</v>
      </c>
      <c r="AB60" s="64" t="str">
        <f t="shared" si="6"/>
        <v>OK</v>
      </c>
      <c r="AC60" s="70">
        <f>23.49+0.31</f>
        <v>23.799999999999997</v>
      </c>
      <c r="AD60" s="63"/>
      <c r="AE60" s="70">
        <v>74.95</v>
      </c>
      <c r="AF60" s="79"/>
      <c r="AG60" s="206">
        <f t="shared" si="0"/>
        <v>98.75</v>
      </c>
      <c r="AH60" s="216">
        <v>2.12</v>
      </c>
    </row>
    <row r="61" spans="1:34" s="406" customFormat="1" ht="12.75">
      <c r="A61" s="106" t="s">
        <v>500</v>
      </c>
      <c r="B61" s="107" t="s">
        <v>110</v>
      </c>
      <c r="C61" s="568" t="s">
        <v>316</v>
      </c>
      <c r="D61" s="568"/>
      <c r="E61" s="568"/>
      <c r="F61" s="568"/>
      <c r="G61" s="568"/>
      <c r="H61" s="568"/>
      <c r="I61" s="568"/>
      <c r="J61" s="69">
        <v>1.29</v>
      </c>
      <c r="K61" s="109" t="s">
        <v>64</v>
      </c>
      <c r="L61" s="71"/>
      <c r="M61" s="71"/>
      <c r="N61" s="71"/>
      <c r="O61" s="71"/>
      <c r="P61" s="71"/>
      <c r="Q61" s="71"/>
      <c r="R61" s="71"/>
      <c r="S61" s="71"/>
      <c r="T61" s="435">
        <v>337.1240310077519</v>
      </c>
      <c r="U61" s="435">
        <f t="shared" si="2"/>
        <v>434.89</v>
      </c>
      <c r="V61" s="435">
        <v>13.689922480620154</v>
      </c>
      <c r="W61" s="435">
        <f t="shared" si="3"/>
        <v>17.66</v>
      </c>
      <c r="X61" s="466">
        <f t="shared" si="4"/>
        <v>452.55</v>
      </c>
      <c r="Y61" s="455">
        <v>452.54</v>
      </c>
      <c r="Z61" s="455">
        <v>0</v>
      </c>
      <c r="AA61" s="64">
        <f t="shared" si="5"/>
        <v>452.54</v>
      </c>
      <c r="AB61" s="467">
        <f t="shared" si="6"/>
        <v>0.009999999999990905</v>
      </c>
      <c r="AC61" s="73">
        <f>346.26+0.09+0.04</f>
        <v>346.39</v>
      </c>
      <c r="AD61" s="63"/>
      <c r="AE61" s="73">
        <v>14.06</v>
      </c>
      <c r="AF61" s="79"/>
      <c r="AG61" s="206">
        <f>AE61+AC61</f>
        <v>360.45</v>
      </c>
      <c r="AH61" s="210">
        <v>360.45</v>
      </c>
    </row>
    <row r="62" spans="1:34" s="406" customFormat="1" ht="19.5" customHeight="1">
      <c r="A62" s="106" t="s">
        <v>504</v>
      </c>
      <c r="B62" s="107" t="s">
        <v>234</v>
      </c>
      <c r="C62" s="568" t="s">
        <v>235</v>
      </c>
      <c r="D62" s="568"/>
      <c r="E62" s="568"/>
      <c r="F62" s="568"/>
      <c r="G62" s="568"/>
      <c r="H62" s="568"/>
      <c r="I62" s="568"/>
      <c r="J62" s="109">
        <v>6</v>
      </c>
      <c r="K62" s="76" t="s">
        <v>114</v>
      </c>
      <c r="L62" s="70"/>
      <c r="M62" s="70"/>
      <c r="N62" s="70"/>
      <c r="O62" s="70"/>
      <c r="P62" s="70"/>
      <c r="Q62" s="70"/>
      <c r="R62" s="70"/>
      <c r="S62" s="70"/>
      <c r="T62" s="435">
        <v>508.5</v>
      </c>
      <c r="U62" s="435">
        <f t="shared" si="2"/>
        <v>3051</v>
      </c>
      <c r="V62" s="435">
        <v>105.26833333333333</v>
      </c>
      <c r="W62" s="435">
        <f t="shared" si="3"/>
        <v>631.61</v>
      </c>
      <c r="X62" s="436">
        <f t="shared" si="4"/>
        <v>3682.61</v>
      </c>
      <c r="Y62" s="455">
        <v>3682.62</v>
      </c>
      <c r="Z62" s="455">
        <v>0</v>
      </c>
      <c r="AA62" s="64">
        <f t="shared" si="5"/>
        <v>3682.62</v>
      </c>
      <c r="AB62" s="64">
        <f t="shared" si="6"/>
        <v>-0.009999999999763531</v>
      </c>
      <c r="AC62" s="70">
        <f>522.08+0.4</f>
        <v>522.48</v>
      </c>
      <c r="AD62" s="63"/>
      <c r="AE62" s="70">
        <v>108.16</v>
      </c>
      <c r="AF62" s="79"/>
      <c r="AG62" s="206">
        <f>AE62+AC62</f>
        <v>630.64</v>
      </c>
      <c r="AH62" s="210">
        <v>630.64</v>
      </c>
    </row>
    <row r="63" spans="1:34" s="412" customFormat="1" ht="12.75">
      <c r="A63" s="106" t="s">
        <v>509</v>
      </c>
      <c r="B63" s="113" t="s">
        <v>135</v>
      </c>
      <c r="C63" s="613" t="s">
        <v>467</v>
      </c>
      <c r="D63" s="614"/>
      <c r="E63" s="614"/>
      <c r="F63" s="614"/>
      <c r="G63" s="614"/>
      <c r="H63" s="614"/>
      <c r="I63" s="615"/>
      <c r="J63" s="225">
        <v>16</v>
      </c>
      <c r="K63" s="219" t="s">
        <v>114</v>
      </c>
      <c r="L63" s="221"/>
      <c r="M63" s="221"/>
      <c r="N63" s="221"/>
      <c r="O63" s="221"/>
      <c r="P63" s="221"/>
      <c r="Q63" s="221"/>
      <c r="R63" s="221"/>
      <c r="S63" s="221"/>
      <c r="T63" s="435">
        <v>127.77625</v>
      </c>
      <c r="U63" s="435">
        <f t="shared" si="2"/>
        <v>2044.42</v>
      </c>
      <c r="V63" s="435">
        <v>31.94375</v>
      </c>
      <c r="W63" s="435">
        <f t="shared" si="3"/>
        <v>511.1</v>
      </c>
      <c r="X63" s="436">
        <f t="shared" si="4"/>
        <v>2555.52</v>
      </c>
      <c r="Y63" s="455">
        <v>2555.52</v>
      </c>
      <c r="Z63" s="455">
        <v>0</v>
      </c>
      <c r="AA63" s="64">
        <f t="shared" si="5"/>
        <v>2555.52</v>
      </c>
      <c r="AB63" s="64" t="str">
        <f t="shared" si="6"/>
        <v>OK</v>
      </c>
      <c r="AC63" s="221">
        <f>199.9*0.8</f>
        <v>159.92000000000002</v>
      </c>
      <c r="AD63" s="411"/>
      <c r="AE63" s="221">
        <f>199.9*0.2</f>
        <v>39.980000000000004</v>
      </c>
      <c r="AF63" s="222"/>
      <c r="AG63" s="223">
        <f t="shared" si="0"/>
        <v>199.90000000000003</v>
      </c>
      <c r="AH63" s="224"/>
    </row>
    <row r="64" spans="1:34" s="412" customFormat="1" ht="12.75">
      <c r="A64" s="106" t="s">
        <v>562</v>
      </c>
      <c r="B64" s="113" t="s">
        <v>135</v>
      </c>
      <c r="C64" s="613" t="s">
        <v>468</v>
      </c>
      <c r="D64" s="614"/>
      <c r="E64" s="614"/>
      <c r="F64" s="614"/>
      <c r="G64" s="614"/>
      <c r="H64" s="614"/>
      <c r="I64" s="615"/>
      <c r="J64" s="225">
        <v>12</v>
      </c>
      <c r="K64" s="219" t="s">
        <v>114</v>
      </c>
      <c r="L64" s="221"/>
      <c r="M64" s="221"/>
      <c r="N64" s="221"/>
      <c r="O64" s="221"/>
      <c r="P64" s="221"/>
      <c r="Q64" s="221"/>
      <c r="R64" s="221"/>
      <c r="S64" s="221"/>
      <c r="T64" s="435">
        <v>127.77583333333332</v>
      </c>
      <c r="U64" s="435">
        <f t="shared" si="2"/>
        <v>1533.31</v>
      </c>
      <c r="V64" s="435">
        <v>31.944166666666664</v>
      </c>
      <c r="W64" s="435">
        <f t="shared" si="3"/>
        <v>383.33</v>
      </c>
      <c r="X64" s="436">
        <f t="shared" si="4"/>
        <v>1916.64</v>
      </c>
      <c r="Y64" s="455">
        <v>1916.64</v>
      </c>
      <c r="Z64" s="455">
        <v>0</v>
      </c>
      <c r="AA64" s="64">
        <f t="shared" si="5"/>
        <v>1916.64</v>
      </c>
      <c r="AB64" s="64" t="str">
        <f t="shared" si="6"/>
        <v>OK</v>
      </c>
      <c r="AC64" s="221">
        <f>199.9*0.8</f>
        <v>159.92000000000002</v>
      </c>
      <c r="AD64" s="411"/>
      <c r="AE64" s="221">
        <f>199.9*0.2</f>
        <v>39.980000000000004</v>
      </c>
      <c r="AF64" s="222"/>
      <c r="AG64" s="223">
        <f t="shared" si="0"/>
        <v>199.90000000000003</v>
      </c>
      <c r="AH64" s="224"/>
    </row>
    <row r="65" spans="1:34" s="414" customFormat="1" ht="12.75">
      <c r="A65" s="239" t="s">
        <v>527</v>
      </c>
      <c r="B65" s="240" t="s">
        <v>526</v>
      </c>
      <c r="C65" s="241"/>
      <c r="D65" s="242"/>
      <c r="E65" s="242"/>
      <c r="F65" s="242"/>
      <c r="G65" s="242"/>
      <c r="H65" s="242"/>
      <c r="I65" s="243"/>
      <c r="J65" s="244"/>
      <c r="K65" s="245"/>
      <c r="L65" s="246"/>
      <c r="M65" s="246"/>
      <c r="N65" s="246"/>
      <c r="O65" s="246"/>
      <c r="P65" s="246"/>
      <c r="Q65" s="246"/>
      <c r="R65" s="246"/>
      <c r="S65" s="246"/>
      <c r="T65" s="441"/>
      <c r="U65" s="442">
        <f>SUM(U66:U71)</f>
        <v>103175.69</v>
      </c>
      <c r="V65" s="442"/>
      <c r="W65" s="442">
        <f>SUM(W66:W71)</f>
        <v>21633.69</v>
      </c>
      <c r="X65" s="443">
        <f>SUM(X66:X71)</f>
        <v>124809.37999999999</v>
      </c>
      <c r="Y65" s="457"/>
      <c r="Z65" s="457"/>
      <c r="AA65" s="457"/>
      <c r="AB65" s="413"/>
      <c r="AC65" s="246"/>
      <c r="AD65" s="413"/>
      <c r="AE65" s="246"/>
      <c r="AF65" s="247"/>
      <c r="AG65" s="248"/>
      <c r="AH65" s="249"/>
    </row>
    <row r="66" spans="1:34" s="406" customFormat="1" ht="27" customHeight="1">
      <c r="A66" s="106" t="s">
        <v>528</v>
      </c>
      <c r="B66" s="107" t="s">
        <v>566</v>
      </c>
      <c r="C66" s="568" t="s">
        <v>567</v>
      </c>
      <c r="D66" s="568"/>
      <c r="E66" s="568"/>
      <c r="F66" s="568"/>
      <c r="G66" s="568"/>
      <c r="H66" s="568"/>
      <c r="I66" s="568"/>
      <c r="J66" s="69">
        <v>168</v>
      </c>
      <c r="K66" s="109" t="s">
        <v>65</v>
      </c>
      <c r="L66" s="71"/>
      <c r="M66" s="71"/>
      <c r="N66" s="71"/>
      <c r="O66" s="71"/>
      <c r="P66" s="71"/>
      <c r="Q66" s="71"/>
      <c r="R66" s="71"/>
      <c r="S66" s="71"/>
      <c r="T66" s="435">
        <v>28.55625</v>
      </c>
      <c r="U66" s="435">
        <f aca="true" t="shared" si="7" ref="U66:U71">J66*T66</f>
        <v>4797.45</v>
      </c>
      <c r="V66" s="435">
        <v>9.867678571428572</v>
      </c>
      <c r="W66" s="435">
        <f aca="true" t="shared" si="8" ref="W66:W71">(V66*J66)</f>
        <v>1657.77</v>
      </c>
      <c r="X66" s="436">
        <f aca="true" t="shared" si="9" ref="X66:X71">ROUND(U66+W66,2)</f>
        <v>6455.22</v>
      </c>
      <c r="Y66" s="455">
        <v>6455.22</v>
      </c>
      <c r="Z66" s="455">
        <v>0</v>
      </c>
      <c r="AA66" s="64">
        <f aca="true" t="shared" si="10" ref="AA66:AA71">IF((Y66=Z66),0,(Y66-Z66))</f>
        <v>6455.22</v>
      </c>
      <c r="AB66" s="64" t="str">
        <f aca="true" t="shared" si="11" ref="AB66:AB71">IF((X66=AA66),"OK",(X66-AA66))</f>
        <v>OK</v>
      </c>
      <c r="AC66" s="73">
        <f>21.45+7.89</f>
        <v>29.34</v>
      </c>
      <c r="AD66" s="63"/>
      <c r="AE66" s="73">
        <v>10.14</v>
      </c>
      <c r="AF66" s="79"/>
      <c r="AG66" s="206">
        <f aca="true" t="shared" si="12" ref="AG66:AG71">AE66+AC66</f>
        <v>39.480000000000004</v>
      </c>
      <c r="AH66" s="210">
        <v>39.48</v>
      </c>
    </row>
    <row r="67" spans="1:34" s="406" customFormat="1" ht="12.75">
      <c r="A67" s="106" t="s">
        <v>529</v>
      </c>
      <c r="B67" s="107" t="s">
        <v>542</v>
      </c>
      <c r="C67" s="568" t="s">
        <v>109</v>
      </c>
      <c r="D67" s="568"/>
      <c r="E67" s="568"/>
      <c r="F67" s="568"/>
      <c r="G67" s="568"/>
      <c r="H67" s="568"/>
      <c r="I67" s="568"/>
      <c r="J67" s="69">
        <v>5.04</v>
      </c>
      <c r="K67" s="109" t="s">
        <v>64</v>
      </c>
      <c r="L67" s="71"/>
      <c r="M67" s="71"/>
      <c r="N67" s="71"/>
      <c r="O67" s="71"/>
      <c r="P67" s="71"/>
      <c r="Q67" s="71"/>
      <c r="R67" s="71"/>
      <c r="S67" s="71"/>
      <c r="T67" s="435">
        <v>293.0892857142857</v>
      </c>
      <c r="U67" s="435">
        <f t="shared" si="7"/>
        <v>1477.17</v>
      </c>
      <c r="V67" s="435">
        <v>22.555555555555557</v>
      </c>
      <c r="W67" s="435">
        <f t="shared" si="8"/>
        <v>113.68</v>
      </c>
      <c r="X67" s="436">
        <f>ROUND(U67+W67,2)</f>
        <v>1590.85</v>
      </c>
      <c r="Y67" s="455">
        <v>1590.85</v>
      </c>
      <c r="Z67" s="455">
        <v>0</v>
      </c>
      <c r="AA67" s="64">
        <f t="shared" si="10"/>
        <v>1590.85</v>
      </c>
      <c r="AB67" s="64" t="str">
        <f t="shared" si="11"/>
        <v>OK</v>
      </c>
      <c r="AC67" s="73">
        <f>300.9+0.14+0.11</f>
        <v>301.15</v>
      </c>
      <c r="AD67" s="63"/>
      <c r="AE67" s="73">
        <v>23.18</v>
      </c>
      <c r="AF67" s="79"/>
      <c r="AG67" s="206">
        <f>AE67+AC67</f>
        <v>324.33</v>
      </c>
      <c r="AH67" s="210">
        <v>324.33</v>
      </c>
    </row>
    <row r="68" spans="1:34" s="412" customFormat="1" ht="18.75" customHeight="1">
      <c r="A68" s="106" t="s">
        <v>530</v>
      </c>
      <c r="B68" s="113" t="s">
        <v>216</v>
      </c>
      <c r="C68" s="572" t="s">
        <v>215</v>
      </c>
      <c r="D68" s="573"/>
      <c r="E68" s="573"/>
      <c r="F68" s="573"/>
      <c r="G68" s="573"/>
      <c r="H68" s="573"/>
      <c r="I68" s="574"/>
      <c r="J68" s="225">
        <v>164.64</v>
      </c>
      <c r="K68" s="219" t="s">
        <v>66</v>
      </c>
      <c r="L68" s="221"/>
      <c r="M68" s="221"/>
      <c r="N68" s="221"/>
      <c r="O68" s="221"/>
      <c r="P68" s="221"/>
      <c r="Q68" s="221"/>
      <c r="R68" s="221"/>
      <c r="S68" s="221"/>
      <c r="T68" s="435">
        <v>5.60896501457726</v>
      </c>
      <c r="U68" s="435">
        <f t="shared" si="7"/>
        <v>923.46</v>
      </c>
      <c r="V68" s="435">
        <v>2.5408163265306123</v>
      </c>
      <c r="W68" s="435">
        <f t="shared" si="8"/>
        <v>418.32</v>
      </c>
      <c r="X68" s="436">
        <f t="shared" si="9"/>
        <v>1341.78</v>
      </c>
      <c r="Y68" s="455">
        <v>1341.78</v>
      </c>
      <c r="Z68" s="455">
        <v>0</v>
      </c>
      <c r="AA68" s="64">
        <f t="shared" si="10"/>
        <v>1341.78</v>
      </c>
      <c r="AB68" s="64" t="str">
        <f t="shared" si="11"/>
        <v>OK</v>
      </c>
      <c r="AC68" s="221">
        <v>5.76</v>
      </c>
      <c r="AD68" s="411"/>
      <c r="AE68" s="221">
        <v>2.61</v>
      </c>
      <c r="AF68" s="222"/>
      <c r="AG68" s="223">
        <f t="shared" si="12"/>
        <v>8.37</v>
      </c>
      <c r="AH68" s="224">
        <v>8.37</v>
      </c>
    </row>
    <row r="69" spans="1:34" s="406" customFormat="1" ht="17.25" customHeight="1">
      <c r="A69" s="106" t="s">
        <v>531</v>
      </c>
      <c r="B69" s="107" t="s">
        <v>320</v>
      </c>
      <c r="C69" s="569" t="s">
        <v>318</v>
      </c>
      <c r="D69" s="570"/>
      <c r="E69" s="570"/>
      <c r="F69" s="570"/>
      <c r="G69" s="570"/>
      <c r="H69" s="570"/>
      <c r="I69" s="571"/>
      <c r="J69" s="69">
        <v>103.48</v>
      </c>
      <c r="K69" s="109" t="s">
        <v>66</v>
      </c>
      <c r="L69" s="71"/>
      <c r="M69" s="71"/>
      <c r="N69" s="71"/>
      <c r="O69" s="71"/>
      <c r="P69" s="71"/>
      <c r="Q69" s="71"/>
      <c r="R69" s="71"/>
      <c r="S69" s="71"/>
      <c r="T69" s="435">
        <v>5.656938538848086</v>
      </c>
      <c r="U69" s="435">
        <f t="shared" si="7"/>
        <v>585.38</v>
      </c>
      <c r="V69" s="435">
        <v>3.6594511016621567</v>
      </c>
      <c r="W69" s="435">
        <f t="shared" si="8"/>
        <v>378.68</v>
      </c>
      <c r="X69" s="466">
        <f t="shared" si="9"/>
        <v>964.06</v>
      </c>
      <c r="Y69" s="455">
        <v>964.05</v>
      </c>
      <c r="Z69" s="455">
        <v>0</v>
      </c>
      <c r="AA69" s="64">
        <f t="shared" si="10"/>
        <v>964.05</v>
      </c>
      <c r="AB69" s="467">
        <f t="shared" si="11"/>
        <v>0.009999999999990905</v>
      </c>
      <c r="AC69" s="73">
        <v>5.81</v>
      </c>
      <c r="AD69" s="63"/>
      <c r="AE69" s="73">
        <v>3.76</v>
      </c>
      <c r="AF69" s="79"/>
      <c r="AG69" s="206">
        <f t="shared" si="12"/>
        <v>9.57</v>
      </c>
      <c r="AH69" s="210">
        <v>9.57</v>
      </c>
    </row>
    <row r="70" spans="1:34" s="412" customFormat="1" ht="12.75">
      <c r="A70" s="106" t="s">
        <v>534</v>
      </c>
      <c r="B70" s="113" t="s">
        <v>112</v>
      </c>
      <c r="C70" s="613" t="s">
        <v>111</v>
      </c>
      <c r="D70" s="614"/>
      <c r="E70" s="614"/>
      <c r="F70" s="614"/>
      <c r="G70" s="614"/>
      <c r="H70" s="614"/>
      <c r="I70" s="615"/>
      <c r="J70" s="225">
        <v>100.8</v>
      </c>
      <c r="K70" s="219" t="s">
        <v>63</v>
      </c>
      <c r="L70" s="221"/>
      <c r="M70" s="221"/>
      <c r="N70" s="221"/>
      <c r="O70" s="221"/>
      <c r="P70" s="221"/>
      <c r="Q70" s="221"/>
      <c r="R70" s="221"/>
      <c r="S70" s="221"/>
      <c r="T70" s="435">
        <v>34.13323412698413</v>
      </c>
      <c r="U70" s="435">
        <f t="shared" si="7"/>
        <v>3440.63</v>
      </c>
      <c r="V70" s="435">
        <v>23.107043650793653</v>
      </c>
      <c r="W70" s="435">
        <f t="shared" si="8"/>
        <v>2329.19</v>
      </c>
      <c r="X70" s="466">
        <f t="shared" si="9"/>
        <v>5769.82</v>
      </c>
      <c r="Y70" s="455">
        <v>5769.83</v>
      </c>
      <c r="Z70" s="455">
        <v>0</v>
      </c>
      <c r="AA70" s="64">
        <f t="shared" si="10"/>
        <v>5769.83</v>
      </c>
      <c r="AB70" s="467">
        <f t="shared" si="11"/>
        <v>-0.010000000000218279</v>
      </c>
      <c r="AC70" s="221">
        <f>34.94+0.03+0.1</f>
        <v>35.07</v>
      </c>
      <c r="AD70" s="411"/>
      <c r="AE70" s="221">
        <v>23.74</v>
      </c>
      <c r="AF70" s="222"/>
      <c r="AG70" s="223">
        <f t="shared" si="12"/>
        <v>58.81</v>
      </c>
      <c r="AH70" s="224">
        <v>58.81</v>
      </c>
    </row>
    <row r="71" spans="1:34" s="412" customFormat="1" ht="28.5" customHeight="1">
      <c r="A71" s="106" t="s">
        <v>535</v>
      </c>
      <c r="B71" s="113" t="s">
        <v>532</v>
      </c>
      <c r="C71" s="572" t="s">
        <v>533</v>
      </c>
      <c r="D71" s="573"/>
      <c r="E71" s="573"/>
      <c r="F71" s="573"/>
      <c r="G71" s="573"/>
      <c r="H71" s="573"/>
      <c r="I71" s="574"/>
      <c r="J71" s="225">
        <v>1008</v>
      </c>
      <c r="K71" s="219" t="s">
        <v>63</v>
      </c>
      <c r="L71" s="221"/>
      <c r="M71" s="221"/>
      <c r="N71" s="221"/>
      <c r="O71" s="221"/>
      <c r="P71" s="221"/>
      <c r="Q71" s="221"/>
      <c r="R71" s="221"/>
      <c r="S71" s="221"/>
      <c r="T71" s="435">
        <v>91.22182539682541</v>
      </c>
      <c r="U71" s="435">
        <f t="shared" si="7"/>
        <v>91951.6</v>
      </c>
      <c r="V71" s="435">
        <v>16.603224206349207</v>
      </c>
      <c r="W71" s="435">
        <f t="shared" si="8"/>
        <v>16736.05</v>
      </c>
      <c r="X71" s="436">
        <f t="shared" si="9"/>
        <v>108687.65</v>
      </c>
      <c r="Y71" s="455">
        <v>108687.65</v>
      </c>
      <c r="Z71" s="455">
        <v>0</v>
      </c>
      <c r="AA71" s="64">
        <f t="shared" si="10"/>
        <v>108687.65</v>
      </c>
      <c r="AB71" s="64" t="str">
        <f t="shared" si="11"/>
        <v>OK</v>
      </c>
      <c r="AC71" s="221">
        <f>93.66+0.07</f>
        <v>93.72999999999999</v>
      </c>
      <c r="AD71" s="411"/>
      <c r="AE71" s="221">
        <v>17.06</v>
      </c>
      <c r="AF71" s="222"/>
      <c r="AG71" s="223">
        <f t="shared" si="12"/>
        <v>110.78999999999999</v>
      </c>
      <c r="AH71" s="224">
        <v>110.79</v>
      </c>
    </row>
    <row r="72" spans="1:34" s="407" customFormat="1" ht="11.25" customHeight="1">
      <c r="A72" s="123">
        <v>5</v>
      </c>
      <c r="B72" s="575" t="s">
        <v>390</v>
      </c>
      <c r="C72" s="575"/>
      <c r="D72" s="575"/>
      <c r="E72" s="575"/>
      <c r="F72" s="575"/>
      <c r="G72" s="575"/>
      <c r="H72" s="575"/>
      <c r="I72" s="575"/>
      <c r="J72" s="129"/>
      <c r="K72" s="129"/>
      <c r="L72" s="129"/>
      <c r="M72" s="129"/>
      <c r="N72" s="129"/>
      <c r="O72" s="129"/>
      <c r="P72" s="129"/>
      <c r="Q72" s="129"/>
      <c r="R72" s="129"/>
      <c r="S72" s="129"/>
      <c r="T72" s="437"/>
      <c r="U72" s="433">
        <f>SUM(U73:U75)</f>
        <v>10020.09</v>
      </c>
      <c r="V72" s="437"/>
      <c r="W72" s="433">
        <f>SUM(W73:W75)</f>
        <v>2505.03</v>
      </c>
      <c r="X72" s="434">
        <f>U72+W72</f>
        <v>12525.12</v>
      </c>
      <c r="Y72" s="454"/>
      <c r="Z72" s="454"/>
      <c r="AA72" s="454"/>
      <c r="AB72" s="408"/>
      <c r="AC72" s="207" t="s">
        <v>395</v>
      </c>
      <c r="AD72" s="115"/>
      <c r="AE72" s="207" t="s">
        <v>396</v>
      </c>
      <c r="AF72" s="114"/>
      <c r="AG72" s="205" t="s">
        <v>486</v>
      </c>
      <c r="AH72" s="209" t="s">
        <v>492</v>
      </c>
    </row>
    <row r="73" spans="1:34" s="412" customFormat="1" ht="12.75">
      <c r="A73" s="218" t="s">
        <v>122</v>
      </c>
      <c r="B73" s="113" t="s">
        <v>135</v>
      </c>
      <c r="C73" s="636" t="s">
        <v>476</v>
      </c>
      <c r="D73" s="636"/>
      <c r="E73" s="636"/>
      <c r="F73" s="636"/>
      <c r="G73" s="636"/>
      <c r="H73" s="636"/>
      <c r="I73" s="636"/>
      <c r="J73" s="219">
        <v>8</v>
      </c>
      <c r="K73" s="220" t="s">
        <v>114</v>
      </c>
      <c r="L73" s="221"/>
      <c r="M73" s="221"/>
      <c r="N73" s="221"/>
      <c r="O73" s="221"/>
      <c r="P73" s="221"/>
      <c r="Q73" s="221"/>
      <c r="R73" s="221"/>
      <c r="S73" s="221"/>
      <c r="T73" s="435">
        <v>185.3675</v>
      </c>
      <c r="U73" s="435">
        <f>J73*T73</f>
        <v>1482.94</v>
      </c>
      <c r="V73" s="435">
        <v>46.3425</v>
      </c>
      <c r="W73" s="435">
        <f>(V73*J73)</f>
        <v>370.74</v>
      </c>
      <c r="X73" s="436">
        <f>ROUND(U73+W73,2)</f>
        <v>1853.68</v>
      </c>
      <c r="Y73" s="455">
        <v>1853.68</v>
      </c>
      <c r="Z73" s="455">
        <v>0</v>
      </c>
      <c r="AA73" s="64">
        <f>IF((Y73=Z73),0,(Y73-Z73))</f>
        <v>1853.68</v>
      </c>
      <c r="AB73" s="64" t="str">
        <f>IF((X73=AA73),"OK",(X73-AA73))</f>
        <v>OK</v>
      </c>
      <c r="AC73" s="235">
        <f>290*0.8</f>
        <v>232</v>
      </c>
      <c r="AD73" s="411"/>
      <c r="AE73" s="235">
        <f>290*0.2</f>
        <v>58</v>
      </c>
      <c r="AF73" s="222"/>
      <c r="AG73" s="223">
        <f>AE73+AC73</f>
        <v>290</v>
      </c>
      <c r="AH73" s="224"/>
    </row>
    <row r="74" spans="1:34" s="412" customFormat="1" ht="12.75">
      <c r="A74" s="218" t="s">
        <v>334</v>
      </c>
      <c r="B74" s="113" t="s">
        <v>135</v>
      </c>
      <c r="C74" s="636" t="s">
        <v>475</v>
      </c>
      <c r="D74" s="636"/>
      <c r="E74" s="636"/>
      <c r="F74" s="636"/>
      <c r="G74" s="636"/>
      <c r="H74" s="636"/>
      <c r="I74" s="636"/>
      <c r="J74" s="219">
        <v>12</v>
      </c>
      <c r="K74" s="220" t="s">
        <v>114</v>
      </c>
      <c r="L74" s="221"/>
      <c r="M74" s="221"/>
      <c r="N74" s="221"/>
      <c r="O74" s="221"/>
      <c r="P74" s="221"/>
      <c r="Q74" s="221"/>
      <c r="R74" s="221"/>
      <c r="S74" s="221"/>
      <c r="T74" s="435">
        <v>241.61749999999998</v>
      </c>
      <c r="U74" s="435">
        <f>J74*T74</f>
        <v>2899.41</v>
      </c>
      <c r="V74" s="435">
        <v>60.40416666666667</v>
      </c>
      <c r="W74" s="435">
        <f>(V74*J74)</f>
        <v>724.85</v>
      </c>
      <c r="X74" s="436">
        <f>ROUND(U74+W74,2)</f>
        <v>3624.26</v>
      </c>
      <c r="Y74" s="455">
        <v>3624.26</v>
      </c>
      <c r="Z74" s="455">
        <v>0</v>
      </c>
      <c r="AA74" s="64">
        <f>IF((Y74=Z74),0,(Y74-Z74))</f>
        <v>3624.26</v>
      </c>
      <c r="AB74" s="64" t="str">
        <f>IF((X74=AA74),"OK",(X74-AA74))</f>
        <v>OK</v>
      </c>
      <c r="AC74" s="235">
        <f>378*0.8</f>
        <v>302.40000000000003</v>
      </c>
      <c r="AD74" s="411"/>
      <c r="AE74" s="235">
        <f>378*0.2</f>
        <v>75.60000000000001</v>
      </c>
      <c r="AF74" s="222"/>
      <c r="AG74" s="223">
        <f t="shared" si="0"/>
        <v>378.00000000000006</v>
      </c>
      <c r="AH74" s="224"/>
    </row>
    <row r="75" spans="1:34" s="412" customFormat="1" ht="12.75" customHeight="1">
      <c r="A75" s="218" t="s">
        <v>333</v>
      </c>
      <c r="B75" s="113" t="s">
        <v>135</v>
      </c>
      <c r="C75" s="636" t="s">
        <v>477</v>
      </c>
      <c r="D75" s="636"/>
      <c r="E75" s="636"/>
      <c r="F75" s="636"/>
      <c r="G75" s="636"/>
      <c r="H75" s="636"/>
      <c r="I75" s="636"/>
      <c r="J75" s="219">
        <v>7</v>
      </c>
      <c r="K75" s="220" t="s">
        <v>114</v>
      </c>
      <c r="L75" s="221"/>
      <c r="M75" s="221"/>
      <c r="N75" s="221"/>
      <c r="O75" s="221"/>
      <c r="P75" s="221"/>
      <c r="Q75" s="221"/>
      <c r="R75" s="221"/>
      <c r="S75" s="221"/>
      <c r="T75" s="435">
        <v>805.3914285714285</v>
      </c>
      <c r="U75" s="435">
        <f>J75*T75</f>
        <v>5637.74</v>
      </c>
      <c r="V75" s="435">
        <v>201.34857142857143</v>
      </c>
      <c r="W75" s="435">
        <f>(V75*J75)</f>
        <v>1409.44</v>
      </c>
      <c r="X75" s="436">
        <f>ROUND(U75+W75,2)</f>
        <v>7047.18</v>
      </c>
      <c r="Y75" s="455">
        <v>7047.18</v>
      </c>
      <c r="Z75" s="455">
        <v>0</v>
      </c>
      <c r="AA75" s="64">
        <f>IF((Y75=Z75),0,(Y75-Z75))</f>
        <v>7047.18</v>
      </c>
      <c r="AB75" s="64" t="str">
        <f>IF((X75=AA75),"OK",(X75-AA75))</f>
        <v>OK</v>
      </c>
      <c r="AC75" s="235">
        <f>1260*0.8</f>
        <v>1008</v>
      </c>
      <c r="AD75" s="411"/>
      <c r="AE75" s="235">
        <f>1260*0.2</f>
        <v>252</v>
      </c>
      <c r="AF75" s="222"/>
      <c r="AG75" s="223">
        <f t="shared" si="0"/>
        <v>1260</v>
      </c>
      <c r="AH75" s="224"/>
    </row>
    <row r="76" spans="1:34" s="407" customFormat="1" ht="11.25" customHeight="1">
      <c r="A76" s="123">
        <v>6</v>
      </c>
      <c r="B76" s="575" t="s">
        <v>315</v>
      </c>
      <c r="C76" s="575"/>
      <c r="D76" s="575"/>
      <c r="E76" s="575"/>
      <c r="F76" s="575"/>
      <c r="G76" s="575"/>
      <c r="H76" s="575"/>
      <c r="I76" s="575"/>
      <c r="J76" s="129"/>
      <c r="K76" s="129"/>
      <c r="L76" s="129"/>
      <c r="M76" s="129"/>
      <c r="N76" s="129"/>
      <c r="O76" s="129"/>
      <c r="P76" s="129"/>
      <c r="Q76" s="129"/>
      <c r="R76" s="129"/>
      <c r="S76" s="129"/>
      <c r="T76" s="437"/>
      <c r="U76" s="433">
        <f>SUM(U77:U82)</f>
        <v>3057.5299999999997</v>
      </c>
      <c r="V76" s="437"/>
      <c r="W76" s="433">
        <f>SUM(W77:W82)</f>
        <v>866.6300000000001</v>
      </c>
      <c r="X76" s="434">
        <f>U76+W76</f>
        <v>3924.16</v>
      </c>
      <c r="Y76" s="454"/>
      <c r="Z76" s="454"/>
      <c r="AA76" s="454"/>
      <c r="AB76" s="408"/>
      <c r="AC76" s="207" t="s">
        <v>395</v>
      </c>
      <c r="AD76" s="115"/>
      <c r="AE76" s="207" t="s">
        <v>396</v>
      </c>
      <c r="AF76" s="114"/>
      <c r="AG76" s="205" t="s">
        <v>486</v>
      </c>
      <c r="AH76" s="209" t="s">
        <v>492</v>
      </c>
    </row>
    <row r="77" spans="1:34" s="412" customFormat="1" ht="15" customHeight="1">
      <c r="A77" s="218" t="s">
        <v>335</v>
      </c>
      <c r="B77" s="113" t="s">
        <v>520</v>
      </c>
      <c r="C77" s="569" t="s">
        <v>521</v>
      </c>
      <c r="D77" s="570"/>
      <c r="E77" s="570"/>
      <c r="F77" s="570"/>
      <c r="G77" s="570"/>
      <c r="H77" s="570"/>
      <c r="I77" s="571"/>
      <c r="J77" s="219">
        <f>11*2.4+10.75*2</f>
        <v>47.9</v>
      </c>
      <c r="K77" s="76" t="s">
        <v>65</v>
      </c>
      <c r="L77" s="221"/>
      <c r="M77" s="221"/>
      <c r="N77" s="221"/>
      <c r="O77" s="221"/>
      <c r="P77" s="221"/>
      <c r="Q77" s="221"/>
      <c r="R77" s="221"/>
      <c r="S77" s="221"/>
      <c r="T77" s="435">
        <v>38.176200417536535</v>
      </c>
      <c r="U77" s="435">
        <f aca="true" t="shared" si="13" ref="U77:U82">J77*T77</f>
        <v>1828.6399999999999</v>
      </c>
      <c r="V77" s="435">
        <v>9.54008350730689</v>
      </c>
      <c r="W77" s="435">
        <f aca="true" t="shared" si="14" ref="W77:W82">(V77*J77)</f>
        <v>456.9700000000001</v>
      </c>
      <c r="X77" s="436">
        <f aca="true" t="shared" si="15" ref="X77:X82">ROUND(U77+W77,2)</f>
        <v>2285.61</v>
      </c>
      <c r="Y77" s="455">
        <v>2285.61</v>
      </c>
      <c r="Z77" s="455">
        <v>0</v>
      </c>
      <c r="AA77" s="64">
        <f aca="true" t="shared" si="16" ref="AA77:AA82">IF((Y77=Z77),0,(Y77-Z77))</f>
        <v>2285.61</v>
      </c>
      <c r="AB77" s="64" t="str">
        <f aca="true" t="shared" si="17" ref="AB77:AB82">IF((X77=AA77),"OK",(X77-AA77))</f>
        <v>OK</v>
      </c>
      <c r="AC77" s="235">
        <f>49.03*0.8</f>
        <v>39.224000000000004</v>
      </c>
      <c r="AD77" s="411"/>
      <c r="AE77" s="235">
        <f>49.03*0.2</f>
        <v>9.806000000000001</v>
      </c>
      <c r="AF77" s="222"/>
      <c r="AG77" s="223">
        <f t="shared" si="0"/>
        <v>49.03</v>
      </c>
      <c r="AH77" s="224"/>
    </row>
    <row r="78" spans="1:34" s="406" customFormat="1" ht="16.5" customHeight="1">
      <c r="A78" s="106" t="s">
        <v>336</v>
      </c>
      <c r="B78" s="107" t="s">
        <v>471</v>
      </c>
      <c r="C78" s="569" t="s">
        <v>473</v>
      </c>
      <c r="D78" s="570"/>
      <c r="E78" s="570"/>
      <c r="F78" s="570"/>
      <c r="G78" s="570"/>
      <c r="H78" s="570"/>
      <c r="I78" s="571"/>
      <c r="J78" s="201">
        <v>10.5</v>
      </c>
      <c r="K78" s="76" t="s">
        <v>65</v>
      </c>
      <c r="L78" s="70"/>
      <c r="M78" s="70"/>
      <c r="N78" s="70"/>
      <c r="O78" s="70"/>
      <c r="P78" s="70"/>
      <c r="Q78" s="70"/>
      <c r="R78" s="70"/>
      <c r="S78" s="70"/>
      <c r="T78" s="435">
        <v>117.03714285714287</v>
      </c>
      <c r="U78" s="435">
        <f t="shared" si="13"/>
        <v>1228.89</v>
      </c>
      <c r="V78" s="435">
        <v>39.0152380952381</v>
      </c>
      <c r="W78" s="435">
        <f t="shared" si="14"/>
        <v>409.66</v>
      </c>
      <c r="X78" s="436">
        <f t="shared" si="15"/>
        <v>1638.55</v>
      </c>
      <c r="Y78" s="455">
        <v>1638.55</v>
      </c>
      <c r="Z78" s="455">
        <v>0</v>
      </c>
      <c r="AA78" s="64">
        <f t="shared" si="16"/>
        <v>1638.55</v>
      </c>
      <c r="AB78" s="64" t="str">
        <f t="shared" si="17"/>
        <v>OK</v>
      </c>
      <c r="AC78" s="72">
        <f>0.75*80.17*2</f>
        <v>120.255</v>
      </c>
      <c r="AD78" s="63"/>
      <c r="AE78" s="72">
        <f>0.25*80.17*2</f>
        <v>40.085</v>
      </c>
      <c r="AF78" s="79"/>
      <c r="AG78" s="206">
        <f t="shared" si="0"/>
        <v>160.34</v>
      </c>
      <c r="AH78" s="210">
        <v>160.34</v>
      </c>
    </row>
    <row r="79" spans="1:34" s="406" customFormat="1" ht="12.75">
      <c r="A79" s="106" t="s">
        <v>337</v>
      </c>
      <c r="B79" s="107" t="s">
        <v>542</v>
      </c>
      <c r="C79" s="568" t="s">
        <v>536</v>
      </c>
      <c r="D79" s="568"/>
      <c r="E79" s="568"/>
      <c r="F79" s="568"/>
      <c r="G79" s="568"/>
      <c r="H79" s="568"/>
      <c r="I79" s="568"/>
      <c r="J79" s="69">
        <v>0</v>
      </c>
      <c r="K79" s="109" t="s">
        <v>64</v>
      </c>
      <c r="L79" s="71"/>
      <c r="M79" s="71"/>
      <c r="N79" s="71"/>
      <c r="O79" s="71"/>
      <c r="P79" s="71"/>
      <c r="Q79" s="71"/>
      <c r="R79" s="71"/>
      <c r="S79" s="71"/>
      <c r="T79" s="435">
        <v>293.08764940239047</v>
      </c>
      <c r="U79" s="435">
        <f t="shared" si="13"/>
        <v>0</v>
      </c>
      <c r="V79" s="465">
        <v>22.55378486055777</v>
      </c>
      <c r="W79" s="435">
        <f t="shared" si="14"/>
        <v>0</v>
      </c>
      <c r="X79" s="466">
        <f>ROUND(U79+W79,2)</f>
        <v>0</v>
      </c>
      <c r="Y79" s="455">
        <v>792.27</v>
      </c>
      <c r="Z79" s="455">
        <v>792.27</v>
      </c>
      <c r="AA79" s="64">
        <f t="shared" si="16"/>
        <v>0</v>
      </c>
      <c r="AB79" s="64" t="str">
        <f t="shared" si="17"/>
        <v>OK</v>
      </c>
      <c r="AC79" s="73">
        <f>300.9+0.14+0.11</f>
        <v>301.15</v>
      </c>
      <c r="AD79" s="63"/>
      <c r="AE79" s="73">
        <v>23.18</v>
      </c>
      <c r="AF79" s="79"/>
      <c r="AG79" s="206">
        <f t="shared" si="0"/>
        <v>324.33</v>
      </c>
      <c r="AH79" s="210">
        <v>324.33</v>
      </c>
    </row>
    <row r="80" spans="1:34" s="406" customFormat="1" ht="17.25" customHeight="1">
      <c r="A80" s="106" t="s">
        <v>338</v>
      </c>
      <c r="B80" s="107" t="s">
        <v>320</v>
      </c>
      <c r="C80" s="569" t="s">
        <v>318</v>
      </c>
      <c r="D80" s="570"/>
      <c r="E80" s="570"/>
      <c r="F80" s="570"/>
      <c r="G80" s="570"/>
      <c r="H80" s="570"/>
      <c r="I80" s="571"/>
      <c r="J80" s="69">
        <v>0</v>
      </c>
      <c r="K80" s="109" t="s">
        <v>66</v>
      </c>
      <c r="L80" s="71"/>
      <c r="M80" s="71"/>
      <c r="N80" s="71"/>
      <c r="O80" s="71"/>
      <c r="P80" s="71"/>
      <c r="Q80" s="71"/>
      <c r="R80" s="71"/>
      <c r="S80" s="71"/>
      <c r="T80" s="435">
        <v>5.656455142231947</v>
      </c>
      <c r="U80" s="435">
        <f t="shared" si="13"/>
        <v>0</v>
      </c>
      <c r="V80" s="435">
        <v>3.6597374179431075</v>
      </c>
      <c r="W80" s="435">
        <f t="shared" si="14"/>
        <v>0</v>
      </c>
      <c r="X80" s="436">
        <f t="shared" si="15"/>
        <v>0</v>
      </c>
      <c r="Y80" s="455">
        <v>85.15</v>
      </c>
      <c r="Z80" s="455">
        <v>85.15</v>
      </c>
      <c r="AA80" s="64">
        <f t="shared" si="16"/>
        <v>0</v>
      </c>
      <c r="AB80" s="64" t="str">
        <f t="shared" si="17"/>
        <v>OK</v>
      </c>
      <c r="AC80" s="73">
        <v>5.81</v>
      </c>
      <c r="AD80" s="63"/>
      <c r="AE80" s="73">
        <v>3.76</v>
      </c>
      <c r="AF80" s="79"/>
      <c r="AG80" s="206">
        <f t="shared" si="0"/>
        <v>9.57</v>
      </c>
      <c r="AH80" s="210">
        <v>9.57</v>
      </c>
    </row>
    <row r="81" spans="1:34" s="406" customFormat="1" ht="19.5" customHeight="1">
      <c r="A81" s="106" t="s">
        <v>339</v>
      </c>
      <c r="B81" s="107" t="s">
        <v>319</v>
      </c>
      <c r="C81" s="569" t="s">
        <v>317</v>
      </c>
      <c r="D81" s="570"/>
      <c r="E81" s="570"/>
      <c r="F81" s="570"/>
      <c r="G81" s="570"/>
      <c r="H81" s="570"/>
      <c r="I81" s="571"/>
      <c r="J81" s="109">
        <v>0</v>
      </c>
      <c r="K81" s="76" t="s">
        <v>66</v>
      </c>
      <c r="L81" s="70"/>
      <c r="M81" s="70"/>
      <c r="N81" s="70"/>
      <c r="O81" s="70"/>
      <c r="P81" s="70"/>
      <c r="Q81" s="70"/>
      <c r="R81" s="70"/>
      <c r="S81" s="70"/>
      <c r="T81" s="435">
        <v>6.144508670520231</v>
      </c>
      <c r="U81" s="435">
        <f t="shared" si="13"/>
        <v>0</v>
      </c>
      <c r="V81" s="435">
        <v>1.75</v>
      </c>
      <c r="W81" s="435">
        <f t="shared" si="14"/>
        <v>0</v>
      </c>
      <c r="X81" s="436">
        <f t="shared" si="15"/>
        <v>0</v>
      </c>
      <c r="Y81" s="455">
        <v>54.63</v>
      </c>
      <c r="Z81" s="455">
        <v>54.63</v>
      </c>
      <c r="AA81" s="64">
        <f t="shared" si="16"/>
        <v>0</v>
      </c>
      <c r="AB81" s="64" t="str">
        <f t="shared" si="17"/>
        <v>OK</v>
      </c>
      <c r="AC81" s="72">
        <v>6.31</v>
      </c>
      <c r="AD81" s="63"/>
      <c r="AE81" s="72">
        <v>1.8</v>
      </c>
      <c r="AF81" s="79"/>
      <c r="AG81" s="206">
        <f t="shared" si="0"/>
        <v>8.11</v>
      </c>
      <c r="AH81" s="210">
        <v>8.11</v>
      </c>
    </row>
    <row r="82" spans="1:34" s="406" customFormat="1" ht="19.5" customHeight="1">
      <c r="A82" s="106" t="s">
        <v>472</v>
      </c>
      <c r="B82" s="107" t="s">
        <v>322</v>
      </c>
      <c r="C82" s="569" t="s">
        <v>321</v>
      </c>
      <c r="D82" s="570"/>
      <c r="E82" s="570"/>
      <c r="F82" s="570"/>
      <c r="G82" s="570"/>
      <c r="H82" s="570"/>
      <c r="I82" s="571"/>
      <c r="J82" s="109">
        <v>0</v>
      </c>
      <c r="K82" s="76" t="s">
        <v>66</v>
      </c>
      <c r="L82" s="70"/>
      <c r="M82" s="70"/>
      <c r="N82" s="70"/>
      <c r="O82" s="70"/>
      <c r="P82" s="70"/>
      <c r="Q82" s="70"/>
      <c r="R82" s="70"/>
      <c r="S82" s="70"/>
      <c r="T82" s="435">
        <v>5.193408968125337</v>
      </c>
      <c r="U82" s="435">
        <f t="shared" si="13"/>
        <v>0</v>
      </c>
      <c r="V82" s="435">
        <v>1.2385197190707724</v>
      </c>
      <c r="W82" s="435">
        <f t="shared" si="14"/>
        <v>0</v>
      </c>
      <c r="X82" s="436">
        <f t="shared" si="15"/>
        <v>0</v>
      </c>
      <c r="Y82" s="455">
        <v>238.11</v>
      </c>
      <c r="Z82" s="455">
        <v>238.11</v>
      </c>
      <c r="AA82" s="64">
        <f t="shared" si="16"/>
        <v>0</v>
      </c>
      <c r="AB82" s="64" t="str">
        <f t="shared" si="17"/>
        <v>OK</v>
      </c>
      <c r="AC82" s="72">
        <v>5.34</v>
      </c>
      <c r="AD82" s="63"/>
      <c r="AE82" s="72">
        <v>1.27</v>
      </c>
      <c r="AF82" s="79"/>
      <c r="AG82" s="206">
        <f t="shared" si="0"/>
        <v>6.609999999999999</v>
      </c>
      <c r="AH82" s="210">
        <v>6.61</v>
      </c>
    </row>
    <row r="83" spans="1:34" s="407" customFormat="1" ht="12.75">
      <c r="A83" s="123">
        <v>7</v>
      </c>
      <c r="B83" s="575" t="s">
        <v>130</v>
      </c>
      <c r="C83" s="575"/>
      <c r="D83" s="575"/>
      <c r="E83" s="575"/>
      <c r="F83" s="575"/>
      <c r="G83" s="575"/>
      <c r="H83" s="575"/>
      <c r="I83" s="575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437"/>
      <c r="U83" s="433">
        <f>SUM(U84:U109)</f>
        <v>44900.909999999996</v>
      </c>
      <c r="V83" s="437"/>
      <c r="W83" s="433">
        <f>SUM(W84:W109)</f>
        <v>9981.6</v>
      </c>
      <c r="X83" s="434">
        <f>U83+W83</f>
        <v>54882.509999999995</v>
      </c>
      <c r="Y83" s="454"/>
      <c r="Z83" s="454"/>
      <c r="AA83" s="454"/>
      <c r="AB83" s="408"/>
      <c r="AC83" s="207" t="s">
        <v>395</v>
      </c>
      <c r="AD83" s="115"/>
      <c r="AE83" s="207" t="s">
        <v>396</v>
      </c>
      <c r="AF83" s="114"/>
      <c r="AG83" s="205" t="s">
        <v>486</v>
      </c>
      <c r="AH83" s="209" t="s">
        <v>492</v>
      </c>
    </row>
    <row r="84" spans="1:34" s="406" customFormat="1" ht="19.5" customHeight="1">
      <c r="A84" s="106" t="s">
        <v>340</v>
      </c>
      <c r="B84" s="107" t="s">
        <v>132</v>
      </c>
      <c r="C84" s="568" t="s">
        <v>131</v>
      </c>
      <c r="D84" s="568"/>
      <c r="E84" s="568"/>
      <c r="F84" s="568"/>
      <c r="G84" s="568"/>
      <c r="H84" s="568"/>
      <c r="I84" s="568"/>
      <c r="J84" s="109">
        <v>12</v>
      </c>
      <c r="K84" s="76" t="s">
        <v>114</v>
      </c>
      <c r="L84" s="70"/>
      <c r="M84" s="70"/>
      <c r="N84" s="70"/>
      <c r="O84" s="70"/>
      <c r="P84" s="70"/>
      <c r="Q84" s="70"/>
      <c r="R84" s="70"/>
      <c r="S84" s="70"/>
      <c r="T84" s="435">
        <v>1308.8500000000001</v>
      </c>
      <c r="U84" s="435">
        <f aca="true" t="shared" si="18" ref="U84:U109">J84*T84</f>
        <v>15706.2</v>
      </c>
      <c r="V84" s="435">
        <v>92.10833333333333</v>
      </c>
      <c r="W84" s="435">
        <f aca="true" t="shared" si="19" ref="W84:W109">(V84*J84)</f>
        <v>1105.3</v>
      </c>
      <c r="X84" s="436">
        <f>ROUND(U84+W84,2)</f>
        <v>16811.5</v>
      </c>
      <c r="Y84" s="455">
        <v>16811.51</v>
      </c>
      <c r="Z84" s="455">
        <v>0</v>
      </c>
      <c r="AA84" s="64">
        <f aca="true" t="shared" si="20" ref="AA84:AA109">IF((Y84=Z84),0,(Y84-Z84))</f>
        <v>16811.51</v>
      </c>
      <c r="AB84" s="64">
        <f aca="true" t="shared" si="21" ref="AB84:AB109">IF((X84=AA84),"OK",(X84-AA84))</f>
        <v>-0.00999999999839929</v>
      </c>
      <c r="AC84" s="70">
        <f>1344.49+0.35</f>
        <v>1344.84</v>
      </c>
      <c r="AD84" s="63"/>
      <c r="AE84" s="70">
        <v>94.64</v>
      </c>
      <c r="AF84" s="79"/>
      <c r="AG84" s="206">
        <f t="shared" si="0"/>
        <v>1439.48</v>
      </c>
      <c r="AH84" s="216">
        <v>1439.48</v>
      </c>
    </row>
    <row r="85" spans="1:34" s="406" customFormat="1" ht="19.5" customHeight="1">
      <c r="A85" s="106" t="s">
        <v>341</v>
      </c>
      <c r="B85" s="107" t="s">
        <v>234</v>
      </c>
      <c r="C85" s="568" t="s">
        <v>235</v>
      </c>
      <c r="D85" s="568"/>
      <c r="E85" s="568"/>
      <c r="F85" s="568"/>
      <c r="G85" s="568"/>
      <c r="H85" s="568"/>
      <c r="I85" s="568"/>
      <c r="J85" s="109">
        <v>12</v>
      </c>
      <c r="K85" s="76" t="s">
        <v>114</v>
      </c>
      <c r="L85" s="70"/>
      <c r="M85" s="70"/>
      <c r="N85" s="70"/>
      <c r="O85" s="70"/>
      <c r="P85" s="70"/>
      <c r="Q85" s="70"/>
      <c r="R85" s="70"/>
      <c r="S85" s="70"/>
      <c r="T85" s="435">
        <v>508.49916666666667</v>
      </c>
      <c r="U85" s="435">
        <f t="shared" si="18"/>
        <v>6101.99</v>
      </c>
      <c r="V85" s="435">
        <v>105.26833333333333</v>
      </c>
      <c r="W85" s="435">
        <f t="shared" si="19"/>
        <v>1263.22</v>
      </c>
      <c r="X85" s="436">
        <f aca="true" t="shared" si="22" ref="X85:X109">ROUND(U85+W85,2)</f>
        <v>7365.21</v>
      </c>
      <c r="Y85" s="455">
        <v>7365.22</v>
      </c>
      <c r="Z85" s="455">
        <v>0</v>
      </c>
      <c r="AA85" s="64">
        <f t="shared" si="20"/>
        <v>7365.22</v>
      </c>
      <c r="AB85" s="64">
        <f t="shared" si="21"/>
        <v>-0.010000000000218279</v>
      </c>
      <c r="AC85" s="70">
        <f>522.08+0.4</f>
        <v>522.48</v>
      </c>
      <c r="AD85" s="63"/>
      <c r="AE85" s="70">
        <v>108.16</v>
      </c>
      <c r="AF85" s="79"/>
      <c r="AG85" s="206">
        <f t="shared" si="0"/>
        <v>630.64</v>
      </c>
      <c r="AH85" s="210">
        <v>630.64</v>
      </c>
    </row>
    <row r="86" spans="1:34" s="406" customFormat="1" ht="12.75">
      <c r="A86" s="106" t="s">
        <v>342</v>
      </c>
      <c r="B86" s="107" t="s">
        <v>499</v>
      </c>
      <c r="C86" s="565" t="s">
        <v>501</v>
      </c>
      <c r="D86" s="566"/>
      <c r="E86" s="566"/>
      <c r="F86" s="566"/>
      <c r="G86" s="566"/>
      <c r="H86" s="566"/>
      <c r="I86" s="567"/>
      <c r="J86" s="69">
        <f>0.6*0.6*0.05*12</f>
        <v>0.21599999999999997</v>
      </c>
      <c r="K86" s="109" t="s">
        <v>64</v>
      </c>
      <c r="L86" s="70"/>
      <c r="M86" s="70"/>
      <c r="N86" s="70"/>
      <c r="O86" s="70"/>
      <c r="P86" s="70"/>
      <c r="Q86" s="70"/>
      <c r="R86" s="70"/>
      <c r="S86" s="70"/>
      <c r="T86" s="465">
        <v>265.6481481481482</v>
      </c>
      <c r="U86" s="435">
        <f t="shared" si="18"/>
        <v>57.38</v>
      </c>
      <c r="V86" s="465">
        <v>142.50000000000003</v>
      </c>
      <c r="W86" s="435">
        <f t="shared" si="19"/>
        <v>30.78</v>
      </c>
      <c r="X86" s="466">
        <f t="shared" si="22"/>
        <v>88.16</v>
      </c>
      <c r="Y86" s="455">
        <v>88.16</v>
      </c>
      <c r="Z86" s="455">
        <v>0</v>
      </c>
      <c r="AA86" s="64">
        <f t="shared" si="20"/>
        <v>88.16</v>
      </c>
      <c r="AB86" s="467" t="str">
        <f t="shared" si="21"/>
        <v>OK</v>
      </c>
      <c r="AC86" s="70">
        <v>272.93</v>
      </c>
      <c r="AD86" s="63"/>
      <c r="AE86" s="70">
        <v>146.4</v>
      </c>
      <c r="AF86" s="79"/>
      <c r="AG86" s="206">
        <f t="shared" si="0"/>
        <v>419.33000000000004</v>
      </c>
      <c r="AH86" s="210">
        <v>419.43</v>
      </c>
    </row>
    <row r="87" spans="1:34" s="406" customFormat="1" ht="12.75">
      <c r="A87" s="106" t="s">
        <v>343</v>
      </c>
      <c r="B87" s="107" t="s">
        <v>507</v>
      </c>
      <c r="C87" s="565" t="s">
        <v>508</v>
      </c>
      <c r="D87" s="566"/>
      <c r="E87" s="566"/>
      <c r="F87" s="566"/>
      <c r="G87" s="566"/>
      <c r="H87" s="566"/>
      <c r="I87" s="567"/>
      <c r="J87" s="69">
        <f>0.6*0.6*0.6*12</f>
        <v>2.592</v>
      </c>
      <c r="K87" s="109" t="s">
        <v>64</v>
      </c>
      <c r="L87" s="70"/>
      <c r="M87" s="70"/>
      <c r="N87" s="70"/>
      <c r="O87" s="70"/>
      <c r="P87" s="70"/>
      <c r="Q87" s="70"/>
      <c r="R87" s="70"/>
      <c r="S87" s="70"/>
      <c r="T87" s="435">
        <v>23.16358024691358</v>
      </c>
      <c r="U87" s="435">
        <f t="shared" si="18"/>
        <v>60.04</v>
      </c>
      <c r="V87" s="435">
        <v>72.93981481481481</v>
      </c>
      <c r="W87" s="435">
        <f t="shared" si="19"/>
        <v>189.06</v>
      </c>
      <c r="X87" s="436">
        <f t="shared" si="22"/>
        <v>249.1</v>
      </c>
      <c r="Y87" s="455">
        <v>249.1</v>
      </c>
      <c r="Z87" s="455">
        <v>0</v>
      </c>
      <c r="AA87" s="64">
        <f t="shared" si="20"/>
        <v>249.1</v>
      </c>
      <c r="AB87" s="64" t="str">
        <f t="shared" si="21"/>
        <v>OK</v>
      </c>
      <c r="AC87" s="70">
        <v>23.799999999999997</v>
      </c>
      <c r="AD87" s="63"/>
      <c r="AE87" s="70">
        <v>74.95</v>
      </c>
      <c r="AF87" s="79"/>
      <c r="AG87" s="206">
        <f t="shared" si="0"/>
        <v>98.75</v>
      </c>
      <c r="AH87" s="210">
        <v>2.12</v>
      </c>
    </row>
    <row r="88" spans="1:34" s="406" customFormat="1" ht="12.75">
      <c r="A88" s="106" t="s">
        <v>344</v>
      </c>
      <c r="B88" s="107" t="s">
        <v>542</v>
      </c>
      <c r="C88" s="568" t="s">
        <v>316</v>
      </c>
      <c r="D88" s="568"/>
      <c r="E88" s="568"/>
      <c r="F88" s="568"/>
      <c r="G88" s="568"/>
      <c r="H88" s="568"/>
      <c r="I88" s="568"/>
      <c r="J88" s="69">
        <f>0.6*0.6*0.6*12</f>
        <v>2.592</v>
      </c>
      <c r="K88" s="109" t="s">
        <v>64</v>
      </c>
      <c r="L88" s="71"/>
      <c r="M88" s="71"/>
      <c r="N88" s="71"/>
      <c r="O88" s="71"/>
      <c r="P88" s="71"/>
      <c r="Q88" s="71"/>
      <c r="R88" s="71"/>
      <c r="S88" s="71"/>
      <c r="T88" s="435">
        <v>293.09027777777777</v>
      </c>
      <c r="U88" s="435">
        <f t="shared" si="18"/>
        <v>759.69</v>
      </c>
      <c r="V88" s="465">
        <v>22.554012345679013</v>
      </c>
      <c r="W88" s="435">
        <f t="shared" si="19"/>
        <v>58.46</v>
      </c>
      <c r="X88" s="436">
        <f>ROUND(U88+W88,2)</f>
        <v>818.15</v>
      </c>
      <c r="Y88" s="455">
        <v>818.16</v>
      </c>
      <c r="Z88" s="455">
        <v>0</v>
      </c>
      <c r="AA88" s="64">
        <f t="shared" si="20"/>
        <v>818.16</v>
      </c>
      <c r="AB88" s="64">
        <f t="shared" si="21"/>
        <v>-0.009999999999990905</v>
      </c>
      <c r="AC88" s="73">
        <f>300.9+0.14+0.11</f>
        <v>301.15</v>
      </c>
      <c r="AD88" s="63"/>
      <c r="AE88" s="73">
        <v>23.18</v>
      </c>
      <c r="AF88" s="79"/>
      <c r="AG88" s="206">
        <f>AE88+AC88</f>
        <v>324.33</v>
      </c>
      <c r="AH88" s="210">
        <v>324.33</v>
      </c>
    </row>
    <row r="89" spans="1:34" s="406" customFormat="1" ht="30" customHeight="1">
      <c r="A89" s="106" t="s">
        <v>345</v>
      </c>
      <c r="B89" s="107" t="s">
        <v>156</v>
      </c>
      <c r="C89" s="568" t="s">
        <v>155</v>
      </c>
      <c r="D89" s="568"/>
      <c r="E89" s="568"/>
      <c r="F89" s="568"/>
      <c r="G89" s="568"/>
      <c r="H89" s="568"/>
      <c r="I89" s="568"/>
      <c r="J89" s="109">
        <v>1</v>
      </c>
      <c r="K89" s="76" t="s">
        <v>114</v>
      </c>
      <c r="L89" s="70"/>
      <c r="M89" s="70"/>
      <c r="N89" s="70"/>
      <c r="O89" s="70"/>
      <c r="P89" s="70"/>
      <c r="Q89" s="70"/>
      <c r="R89" s="70"/>
      <c r="S89" s="70"/>
      <c r="T89" s="435">
        <v>336.87</v>
      </c>
      <c r="U89" s="435">
        <f t="shared" si="18"/>
        <v>336.87</v>
      </c>
      <c r="V89" s="435">
        <v>55.98</v>
      </c>
      <c r="W89" s="435">
        <f t="shared" si="19"/>
        <v>55.98</v>
      </c>
      <c r="X89" s="466">
        <f t="shared" si="22"/>
        <v>392.85</v>
      </c>
      <c r="Y89" s="455">
        <v>392.84</v>
      </c>
      <c r="Z89" s="455">
        <v>0</v>
      </c>
      <c r="AA89" s="64">
        <f t="shared" si="20"/>
        <v>392.84</v>
      </c>
      <c r="AB89" s="467">
        <f t="shared" si="21"/>
        <v>0.010000000000047748</v>
      </c>
      <c r="AC89" s="70">
        <f>345.89+0.24</f>
        <v>346.13</v>
      </c>
      <c r="AD89" s="63"/>
      <c r="AE89" s="70">
        <v>57.52</v>
      </c>
      <c r="AF89" s="79"/>
      <c r="AG89" s="206">
        <f t="shared" si="0"/>
        <v>403.65</v>
      </c>
      <c r="AH89" s="210">
        <v>403.65</v>
      </c>
    </row>
    <row r="90" spans="1:34" s="406" customFormat="1" ht="19.5" customHeight="1">
      <c r="A90" s="106" t="s">
        <v>346</v>
      </c>
      <c r="B90" s="107" t="s">
        <v>236</v>
      </c>
      <c r="C90" s="568" t="s">
        <v>237</v>
      </c>
      <c r="D90" s="568"/>
      <c r="E90" s="568"/>
      <c r="F90" s="568"/>
      <c r="G90" s="568"/>
      <c r="H90" s="568"/>
      <c r="I90" s="568"/>
      <c r="J90" s="109">
        <v>1</v>
      </c>
      <c r="K90" s="76" t="s">
        <v>114</v>
      </c>
      <c r="L90" s="70"/>
      <c r="M90" s="70"/>
      <c r="N90" s="70"/>
      <c r="O90" s="70"/>
      <c r="P90" s="70"/>
      <c r="Q90" s="70"/>
      <c r="R90" s="70"/>
      <c r="S90" s="70"/>
      <c r="T90" s="435">
        <v>8.91</v>
      </c>
      <c r="U90" s="435">
        <f t="shared" si="18"/>
        <v>8.91</v>
      </c>
      <c r="V90" s="435">
        <v>0.77</v>
      </c>
      <c r="W90" s="435">
        <f t="shared" si="19"/>
        <v>0.77</v>
      </c>
      <c r="X90" s="436">
        <f t="shared" si="22"/>
        <v>9.68</v>
      </c>
      <c r="Y90" s="455">
        <v>9.68</v>
      </c>
      <c r="Z90" s="455">
        <v>0</v>
      </c>
      <c r="AA90" s="64">
        <f t="shared" si="20"/>
        <v>9.68</v>
      </c>
      <c r="AB90" s="64" t="str">
        <f t="shared" si="21"/>
        <v>OK</v>
      </c>
      <c r="AC90" s="70">
        <v>9.15</v>
      </c>
      <c r="AD90" s="63"/>
      <c r="AE90" s="70">
        <v>0.79</v>
      </c>
      <c r="AF90" s="79"/>
      <c r="AG90" s="206">
        <f t="shared" si="0"/>
        <v>9.940000000000001</v>
      </c>
      <c r="AH90" s="210">
        <v>9.94</v>
      </c>
    </row>
    <row r="91" spans="1:34" s="406" customFormat="1" ht="19.5" customHeight="1">
      <c r="A91" s="106" t="s">
        <v>347</v>
      </c>
      <c r="B91" s="107" t="s">
        <v>217</v>
      </c>
      <c r="C91" s="568" t="s">
        <v>157</v>
      </c>
      <c r="D91" s="568"/>
      <c r="E91" s="568"/>
      <c r="F91" s="568"/>
      <c r="G91" s="568"/>
      <c r="H91" s="568"/>
      <c r="I91" s="568"/>
      <c r="J91" s="109">
        <v>2</v>
      </c>
      <c r="K91" s="76" t="s">
        <v>114</v>
      </c>
      <c r="L91" s="70"/>
      <c r="M91" s="70"/>
      <c r="N91" s="70"/>
      <c r="O91" s="70"/>
      <c r="P91" s="70"/>
      <c r="Q91" s="70"/>
      <c r="R91" s="70"/>
      <c r="S91" s="70"/>
      <c r="T91" s="435">
        <v>8.98</v>
      </c>
      <c r="U91" s="435">
        <f t="shared" si="18"/>
        <v>17.96</v>
      </c>
      <c r="V91" s="435">
        <v>1.07</v>
      </c>
      <c r="W91" s="435">
        <f t="shared" si="19"/>
        <v>2.14</v>
      </c>
      <c r="X91" s="436">
        <f t="shared" si="22"/>
        <v>20.1</v>
      </c>
      <c r="Y91" s="455">
        <v>20.1</v>
      </c>
      <c r="Z91" s="455">
        <v>0</v>
      </c>
      <c r="AA91" s="64">
        <f t="shared" si="20"/>
        <v>20.1</v>
      </c>
      <c r="AB91" s="64" t="str">
        <f t="shared" si="21"/>
        <v>OK</v>
      </c>
      <c r="AC91" s="70">
        <v>9.23</v>
      </c>
      <c r="AD91" s="63"/>
      <c r="AE91" s="70">
        <v>1.1</v>
      </c>
      <c r="AF91" s="79"/>
      <c r="AG91" s="206">
        <f t="shared" si="0"/>
        <v>10.33</v>
      </c>
      <c r="AH91" s="210">
        <v>10.33</v>
      </c>
    </row>
    <row r="92" spans="1:34" s="406" customFormat="1" ht="19.5" customHeight="1">
      <c r="A92" s="106" t="s">
        <v>348</v>
      </c>
      <c r="B92" s="107" t="s">
        <v>218</v>
      </c>
      <c r="C92" s="568" t="s">
        <v>158</v>
      </c>
      <c r="D92" s="568"/>
      <c r="E92" s="568"/>
      <c r="F92" s="568"/>
      <c r="G92" s="568"/>
      <c r="H92" s="568"/>
      <c r="I92" s="568"/>
      <c r="J92" s="109">
        <v>5</v>
      </c>
      <c r="K92" s="76" t="s">
        <v>114</v>
      </c>
      <c r="L92" s="70"/>
      <c r="M92" s="70"/>
      <c r="N92" s="70"/>
      <c r="O92" s="70"/>
      <c r="P92" s="70"/>
      <c r="Q92" s="70"/>
      <c r="R92" s="70"/>
      <c r="S92" s="70"/>
      <c r="T92" s="435">
        <v>9.276</v>
      </c>
      <c r="U92" s="435">
        <f t="shared" si="18"/>
        <v>46.379999999999995</v>
      </c>
      <c r="V92" s="435">
        <v>1.47</v>
      </c>
      <c r="W92" s="435">
        <f t="shared" si="19"/>
        <v>7.35</v>
      </c>
      <c r="X92" s="436">
        <f t="shared" si="22"/>
        <v>53.73</v>
      </c>
      <c r="Y92" s="455">
        <v>53.73</v>
      </c>
      <c r="Z92" s="455">
        <v>0</v>
      </c>
      <c r="AA92" s="64">
        <f t="shared" si="20"/>
        <v>53.73</v>
      </c>
      <c r="AB92" s="64" t="str">
        <f t="shared" si="21"/>
        <v>OK</v>
      </c>
      <c r="AC92" s="70">
        <v>9.53</v>
      </c>
      <c r="AD92" s="63"/>
      <c r="AE92" s="70">
        <v>1.51</v>
      </c>
      <c r="AF92" s="79"/>
      <c r="AG92" s="206">
        <f t="shared" si="0"/>
        <v>11.04</v>
      </c>
      <c r="AH92" s="210">
        <v>11.04</v>
      </c>
    </row>
    <row r="93" spans="1:34" s="406" customFormat="1" ht="19.5" customHeight="1">
      <c r="A93" s="106" t="s">
        <v>349</v>
      </c>
      <c r="B93" s="107" t="s">
        <v>219</v>
      </c>
      <c r="C93" s="568" t="s">
        <v>159</v>
      </c>
      <c r="D93" s="568"/>
      <c r="E93" s="568"/>
      <c r="F93" s="568"/>
      <c r="G93" s="568"/>
      <c r="H93" s="568"/>
      <c r="I93" s="568"/>
      <c r="J93" s="109">
        <v>1</v>
      </c>
      <c r="K93" s="76" t="s">
        <v>114</v>
      </c>
      <c r="L93" s="70"/>
      <c r="M93" s="70"/>
      <c r="N93" s="70"/>
      <c r="O93" s="70"/>
      <c r="P93" s="70"/>
      <c r="Q93" s="70"/>
      <c r="R93" s="70"/>
      <c r="S93" s="70"/>
      <c r="T93" s="435">
        <v>13.87</v>
      </c>
      <c r="U93" s="435">
        <f t="shared" si="18"/>
        <v>13.87</v>
      </c>
      <c r="V93" s="435">
        <v>3.04</v>
      </c>
      <c r="W93" s="435">
        <f t="shared" si="19"/>
        <v>3.04</v>
      </c>
      <c r="X93" s="436">
        <f t="shared" si="22"/>
        <v>16.91</v>
      </c>
      <c r="Y93" s="455">
        <v>16.91</v>
      </c>
      <c r="Z93" s="455">
        <v>0</v>
      </c>
      <c r="AA93" s="64">
        <f t="shared" si="20"/>
        <v>16.91</v>
      </c>
      <c r="AB93" s="64" t="str">
        <f t="shared" si="21"/>
        <v>OK</v>
      </c>
      <c r="AC93" s="70">
        <v>14.25</v>
      </c>
      <c r="AD93" s="63"/>
      <c r="AE93" s="70">
        <v>3.12</v>
      </c>
      <c r="AF93" s="79"/>
      <c r="AG93" s="206">
        <f t="shared" si="0"/>
        <v>17.37</v>
      </c>
      <c r="AH93" s="210">
        <v>17.37</v>
      </c>
    </row>
    <row r="94" spans="1:34" s="406" customFormat="1" ht="19.5" customHeight="1">
      <c r="A94" s="106" t="s">
        <v>350</v>
      </c>
      <c r="B94" s="107" t="s">
        <v>220</v>
      </c>
      <c r="C94" s="568" t="s">
        <v>160</v>
      </c>
      <c r="D94" s="568"/>
      <c r="E94" s="568"/>
      <c r="F94" s="568"/>
      <c r="G94" s="568"/>
      <c r="H94" s="568"/>
      <c r="I94" s="568"/>
      <c r="J94" s="109">
        <v>2</v>
      </c>
      <c r="K94" s="76" t="s">
        <v>114</v>
      </c>
      <c r="L94" s="70"/>
      <c r="M94" s="70"/>
      <c r="N94" s="70"/>
      <c r="O94" s="70"/>
      <c r="P94" s="70"/>
      <c r="Q94" s="70"/>
      <c r="R94" s="70"/>
      <c r="S94" s="70"/>
      <c r="T94" s="435">
        <v>14.405</v>
      </c>
      <c r="U94" s="435">
        <f t="shared" si="18"/>
        <v>28.81</v>
      </c>
      <c r="V94" s="465">
        <v>4.275</v>
      </c>
      <c r="W94" s="435">
        <f t="shared" si="19"/>
        <v>8.55</v>
      </c>
      <c r="X94" s="436">
        <f t="shared" si="22"/>
        <v>37.36</v>
      </c>
      <c r="Y94" s="455">
        <v>37.36</v>
      </c>
      <c r="Z94" s="455">
        <v>0</v>
      </c>
      <c r="AA94" s="64">
        <f t="shared" si="20"/>
        <v>37.36</v>
      </c>
      <c r="AB94" s="64" t="str">
        <f t="shared" si="21"/>
        <v>OK</v>
      </c>
      <c r="AC94" s="70">
        <v>14.8</v>
      </c>
      <c r="AD94" s="63"/>
      <c r="AE94" s="70">
        <v>4.39</v>
      </c>
      <c r="AF94" s="79"/>
      <c r="AG94" s="206">
        <f t="shared" si="0"/>
        <v>19.19</v>
      </c>
      <c r="AH94" s="210">
        <v>19.19</v>
      </c>
    </row>
    <row r="95" spans="1:34" s="406" customFormat="1" ht="19.5" customHeight="1">
      <c r="A95" s="106" t="s">
        <v>351</v>
      </c>
      <c r="B95" s="107" t="s">
        <v>232</v>
      </c>
      <c r="C95" s="568" t="s">
        <v>231</v>
      </c>
      <c r="D95" s="568"/>
      <c r="E95" s="568"/>
      <c r="F95" s="568"/>
      <c r="G95" s="568"/>
      <c r="H95" s="568"/>
      <c r="I95" s="568"/>
      <c r="J95" s="109">
        <v>85</v>
      </c>
      <c r="K95" s="76" t="s">
        <v>65</v>
      </c>
      <c r="L95" s="70"/>
      <c r="M95" s="70"/>
      <c r="N95" s="70"/>
      <c r="O95" s="70"/>
      <c r="P95" s="70"/>
      <c r="Q95" s="70"/>
      <c r="R95" s="70"/>
      <c r="S95" s="70"/>
      <c r="T95" s="435">
        <v>1.0547058823529412</v>
      </c>
      <c r="U95" s="435">
        <f t="shared" si="18"/>
        <v>89.65</v>
      </c>
      <c r="V95" s="435">
        <v>0.5432941176470588</v>
      </c>
      <c r="W95" s="435">
        <f t="shared" si="19"/>
        <v>46.18</v>
      </c>
      <c r="X95" s="436">
        <f t="shared" si="22"/>
        <v>135.83</v>
      </c>
      <c r="Y95" s="455">
        <v>135.83</v>
      </c>
      <c r="Z95" s="455">
        <v>0</v>
      </c>
      <c r="AA95" s="64">
        <f t="shared" si="20"/>
        <v>135.83</v>
      </c>
      <c r="AB95" s="64" t="str">
        <f t="shared" si="21"/>
        <v>OK</v>
      </c>
      <c r="AC95" s="70">
        <v>1.08</v>
      </c>
      <c r="AD95" s="63"/>
      <c r="AE95" s="70">
        <v>0.56</v>
      </c>
      <c r="AF95" s="79"/>
      <c r="AG95" s="206">
        <f t="shared" si="0"/>
        <v>1.6400000000000001</v>
      </c>
      <c r="AH95" s="210">
        <v>1.64</v>
      </c>
    </row>
    <row r="96" spans="1:34" s="406" customFormat="1" ht="19.5" customHeight="1">
      <c r="A96" s="106" t="s">
        <v>352</v>
      </c>
      <c r="B96" s="107" t="s">
        <v>162</v>
      </c>
      <c r="C96" s="568" t="s">
        <v>161</v>
      </c>
      <c r="D96" s="568"/>
      <c r="E96" s="568"/>
      <c r="F96" s="568"/>
      <c r="G96" s="568"/>
      <c r="H96" s="568"/>
      <c r="I96" s="568"/>
      <c r="J96" s="109">
        <v>158.7</v>
      </c>
      <c r="K96" s="76" t="s">
        <v>65</v>
      </c>
      <c r="L96" s="70"/>
      <c r="M96" s="70"/>
      <c r="N96" s="70"/>
      <c r="O96" s="70"/>
      <c r="P96" s="70"/>
      <c r="Q96" s="70"/>
      <c r="R96" s="70"/>
      <c r="S96" s="70"/>
      <c r="T96" s="435">
        <v>1.6858853182104603</v>
      </c>
      <c r="U96" s="435">
        <f t="shared" si="18"/>
        <v>267.55</v>
      </c>
      <c r="V96" s="435">
        <v>0.6791430371770637</v>
      </c>
      <c r="W96" s="435">
        <f t="shared" si="19"/>
        <v>107.78</v>
      </c>
      <c r="X96" s="436">
        <f t="shared" si="22"/>
        <v>375.33</v>
      </c>
      <c r="Y96" s="455">
        <v>375.33</v>
      </c>
      <c r="Z96" s="455">
        <v>0</v>
      </c>
      <c r="AA96" s="64">
        <f t="shared" si="20"/>
        <v>375.33</v>
      </c>
      <c r="AB96" s="64" t="str">
        <f t="shared" si="21"/>
        <v>OK</v>
      </c>
      <c r="AC96" s="70">
        <v>1.73</v>
      </c>
      <c r="AD96" s="63"/>
      <c r="AE96" s="70">
        <v>0.7</v>
      </c>
      <c r="AF96" s="79"/>
      <c r="AG96" s="206">
        <f t="shared" si="0"/>
        <v>2.4299999999999997</v>
      </c>
      <c r="AH96" s="210">
        <v>2.43</v>
      </c>
    </row>
    <row r="97" spans="1:34" s="406" customFormat="1" ht="19.5" customHeight="1">
      <c r="A97" s="106" t="s">
        <v>353</v>
      </c>
      <c r="B97" s="107" t="s">
        <v>164</v>
      </c>
      <c r="C97" s="568" t="s">
        <v>163</v>
      </c>
      <c r="D97" s="568"/>
      <c r="E97" s="568"/>
      <c r="F97" s="568"/>
      <c r="G97" s="568"/>
      <c r="H97" s="568"/>
      <c r="I97" s="568"/>
      <c r="J97" s="109">
        <f>35+1714.22-70</f>
        <v>1679.22</v>
      </c>
      <c r="K97" s="76" t="s">
        <v>65</v>
      </c>
      <c r="L97" s="70"/>
      <c r="M97" s="70"/>
      <c r="N97" s="70"/>
      <c r="O97" s="70"/>
      <c r="P97" s="70"/>
      <c r="Q97" s="70"/>
      <c r="R97" s="70"/>
      <c r="S97" s="70"/>
      <c r="T97" s="435">
        <v>2.9083622157906643</v>
      </c>
      <c r="U97" s="435">
        <f t="shared" si="18"/>
        <v>4883.78</v>
      </c>
      <c r="V97" s="435">
        <v>0.9028715713247817</v>
      </c>
      <c r="W97" s="435">
        <f t="shared" si="19"/>
        <v>1516.12</v>
      </c>
      <c r="X97" s="466">
        <f t="shared" si="22"/>
        <v>6399.9</v>
      </c>
      <c r="Y97" s="455">
        <v>6399.89</v>
      </c>
      <c r="Z97" s="455">
        <v>0</v>
      </c>
      <c r="AA97" s="64">
        <f t="shared" si="20"/>
        <v>6399.89</v>
      </c>
      <c r="AB97" s="467">
        <f t="shared" si="21"/>
        <v>0.009999999999308784</v>
      </c>
      <c r="AC97" s="70">
        <v>2.99</v>
      </c>
      <c r="AD97" s="63"/>
      <c r="AE97" s="70">
        <v>0.93</v>
      </c>
      <c r="AF97" s="79"/>
      <c r="AG97" s="206">
        <f t="shared" si="0"/>
        <v>3.9200000000000004</v>
      </c>
      <c r="AH97" s="210">
        <v>3.92</v>
      </c>
    </row>
    <row r="98" spans="1:34" s="406" customFormat="1" ht="19.5" customHeight="1">
      <c r="A98" s="106" t="s">
        <v>354</v>
      </c>
      <c r="B98" s="107" t="s">
        <v>221</v>
      </c>
      <c r="C98" s="568" t="s">
        <v>165</v>
      </c>
      <c r="D98" s="568"/>
      <c r="E98" s="568"/>
      <c r="F98" s="568"/>
      <c r="G98" s="568"/>
      <c r="H98" s="568"/>
      <c r="I98" s="568"/>
      <c r="J98" s="109">
        <v>21</v>
      </c>
      <c r="K98" s="76" t="s">
        <v>65</v>
      </c>
      <c r="L98" s="70"/>
      <c r="M98" s="70"/>
      <c r="N98" s="70"/>
      <c r="O98" s="70"/>
      <c r="P98" s="70"/>
      <c r="Q98" s="70"/>
      <c r="R98" s="70"/>
      <c r="S98" s="70"/>
      <c r="T98" s="435">
        <v>10.49904761904762</v>
      </c>
      <c r="U98" s="435">
        <f t="shared" si="18"/>
        <v>220.48000000000002</v>
      </c>
      <c r="V98" s="435">
        <v>2.5966666666666667</v>
      </c>
      <c r="W98" s="435">
        <f t="shared" si="19"/>
        <v>54.53</v>
      </c>
      <c r="X98" s="436">
        <f t="shared" si="22"/>
        <v>275.01</v>
      </c>
      <c r="Y98" s="455">
        <v>275.01</v>
      </c>
      <c r="Z98" s="455">
        <v>0</v>
      </c>
      <c r="AA98" s="64">
        <f t="shared" si="20"/>
        <v>275.01</v>
      </c>
      <c r="AB98" s="64" t="str">
        <f t="shared" si="21"/>
        <v>OK</v>
      </c>
      <c r="AC98" s="70">
        <v>10.79</v>
      </c>
      <c r="AD98" s="63"/>
      <c r="AE98" s="70">
        <v>2.67</v>
      </c>
      <c r="AF98" s="79"/>
      <c r="AG98" s="206">
        <f t="shared" si="0"/>
        <v>13.459999999999999</v>
      </c>
      <c r="AH98" s="210">
        <v>13.46</v>
      </c>
    </row>
    <row r="99" spans="1:34" s="406" customFormat="1" ht="12.75" customHeight="1">
      <c r="A99" s="106" t="s">
        <v>355</v>
      </c>
      <c r="B99" s="107" t="s">
        <v>169</v>
      </c>
      <c r="C99" s="568" t="s">
        <v>168</v>
      </c>
      <c r="D99" s="568"/>
      <c r="E99" s="568"/>
      <c r="F99" s="568"/>
      <c r="G99" s="568"/>
      <c r="H99" s="568"/>
      <c r="I99" s="568"/>
      <c r="J99" s="109">
        <v>15</v>
      </c>
      <c r="K99" s="76" t="s">
        <v>114</v>
      </c>
      <c r="L99" s="70"/>
      <c r="M99" s="70"/>
      <c r="N99" s="70"/>
      <c r="O99" s="70"/>
      <c r="P99" s="70"/>
      <c r="Q99" s="70"/>
      <c r="R99" s="70"/>
      <c r="S99" s="70"/>
      <c r="T99" s="435">
        <v>68.17866666666666</v>
      </c>
      <c r="U99" s="435">
        <f t="shared" si="18"/>
        <v>1022.6799999999998</v>
      </c>
      <c r="V99" s="435">
        <v>67.47533333333334</v>
      </c>
      <c r="W99" s="435">
        <f t="shared" si="19"/>
        <v>1012.1300000000001</v>
      </c>
      <c r="X99" s="436">
        <f t="shared" si="22"/>
        <v>2034.81</v>
      </c>
      <c r="Y99" s="455">
        <v>2034.81</v>
      </c>
      <c r="Z99" s="455">
        <v>0</v>
      </c>
      <c r="AA99" s="64">
        <f t="shared" si="20"/>
        <v>2034.81</v>
      </c>
      <c r="AB99" s="64" t="str">
        <f t="shared" si="21"/>
        <v>OK</v>
      </c>
      <c r="AC99" s="70">
        <f>69.76+0.29</f>
        <v>70.05000000000001</v>
      </c>
      <c r="AD99" s="63"/>
      <c r="AE99" s="70">
        <v>69.33</v>
      </c>
      <c r="AF99" s="79"/>
      <c r="AG99" s="206">
        <f t="shared" si="0"/>
        <v>139.38</v>
      </c>
      <c r="AH99" s="210">
        <v>139.38</v>
      </c>
    </row>
    <row r="100" spans="1:34" s="406" customFormat="1" ht="12.75" customHeight="1">
      <c r="A100" s="106" t="s">
        <v>356</v>
      </c>
      <c r="B100" s="107" t="s">
        <v>171</v>
      </c>
      <c r="C100" s="568" t="s">
        <v>170</v>
      </c>
      <c r="D100" s="568"/>
      <c r="E100" s="568"/>
      <c r="F100" s="568"/>
      <c r="G100" s="568"/>
      <c r="H100" s="568"/>
      <c r="I100" s="568"/>
      <c r="J100" s="109">
        <v>1</v>
      </c>
      <c r="K100" s="76" t="s">
        <v>114</v>
      </c>
      <c r="L100" s="70"/>
      <c r="M100" s="70"/>
      <c r="N100" s="70"/>
      <c r="O100" s="70"/>
      <c r="P100" s="70"/>
      <c r="Q100" s="70"/>
      <c r="R100" s="70"/>
      <c r="S100" s="70"/>
      <c r="T100" s="435">
        <v>5.67</v>
      </c>
      <c r="U100" s="435">
        <f t="shared" si="18"/>
        <v>5.67</v>
      </c>
      <c r="V100" s="435">
        <v>35.74</v>
      </c>
      <c r="W100" s="435">
        <f t="shared" si="19"/>
        <v>35.74</v>
      </c>
      <c r="X100" s="436">
        <f t="shared" si="22"/>
        <v>41.41</v>
      </c>
      <c r="Y100" s="455">
        <v>41.41</v>
      </c>
      <c r="Z100" s="455">
        <v>0</v>
      </c>
      <c r="AA100" s="64">
        <f t="shared" si="20"/>
        <v>41.41</v>
      </c>
      <c r="AB100" s="64" t="str">
        <f t="shared" si="21"/>
        <v>OK</v>
      </c>
      <c r="AC100" s="70">
        <v>5.83</v>
      </c>
      <c r="AD100" s="63"/>
      <c r="AE100" s="70">
        <v>36.72</v>
      </c>
      <c r="AF100" s="79"/>
      <c r="AG100" s="206">
        <f t="shared" si="0"/>
        <v>42.55</v>
      </c>
      <c r="AH100" s="210">
        <v>42.55</v>
      </c>
    </row>
    <row r="101" spans="1:34" s="406" customFormat="1" ht="19.5" customHeight="1">
      <c r="A101" s="106" t="s">
        <v>357</v>
      </c>
      <c r="B101" s="107" t="s">
        <v>173</v>
      </c>
      <c r="C101" s="568" t="s">
        <v>172</v>
      </c>
      <c r="D101" s="568"/>
      <c r="E101" s="568"/>
      <c r="F101" s="568"/>
      <c r="G101" s="568"/>
      <c r="H101" s="568"/>
      <c r="I101" s="568"/>
      <c r="J101" s="109">
        <v>20</v>
      </c>
      <c r="K101" s="76" t="s">
        <v>114</v>
      </c>
      <c r="L101" s="70"/>
      <c r="M101" s="70"/>
      <c r="N101" s="70"/>
      <c r="O101" s="70"/>
      <c r="P101" s="70"/>
      <c r="Q101" s="70"/>
      <c r="R101" s="70"/>
      <c r="S101" s="70"/>
      <c r="T101" s="435">
        <v>17.322499999999998</v>
      </c>
      <c r="U101" s="435">
        <f t="shared" si="18"/>
        <v>346.44999999999993</v>
      </c>
      <c r="V101" s="435">
        <v>8.2135</v>
      </c>
      <c r="W101" s="435">
        <f t="shared" si="19"/>
        <v>164.26999999999998</v>
      </c>
      <c r="X101" s="436">
        <f t="shared" si="22"/>
        <v>510.72</v>
      </c>
      <c r="Y101" s="455">
        <v>510.72</v>
      </c>
      <c r="Z101" s="455">
        <v>0</v>
      </c>
      <c r="AA101" s="64">
        <f t="shared" si="20"/>
        <v>510.72</v>
      </c>
      <c r="AB101" s="64" t="str">
        <f t="shared" si="21"/>
        <v>OK</v>
      </c>
      <c r="AC101" s="70">
        <f>17.78+0.02</f>
        <v>17.8</v>
      </c>
      <c r="AD101" s="63"/>
      <c r="AE101" s="70">
        <v>8.44</v>
      </c>
      <c r="AF101" s="79"/>
      <c r="AG101" s="206">
        <f t="shared" si="0"/>
        <v>26.240000000000002</v>
      </c>
      <c r="AH101" s="210">
        <v>26.24</v>
      </c>
    </row>
    <row r="102" spans="1:34" s="412" customFormat="1" ht="12.75" customHeight="1">
      <c r="A102" s="106" t="s">
        <v>358</v>
      </c>
      <c r="B102" s="113" t="s">
        <v>135</v>
      </c>
      <c r="C102" s="636" t="s">
        <v>518</v>
      </c>
      <c r="D102" s="636"/>
      <c r="E102" s="636"/>
      <c r="F102" s="636"/>
      <c r="G102" s="636"/>
      <c r="H102" s="636"/>
      <c r="I102" s="636"/>
      <c r="J102" s="219">
        <v>24</v>
      </c>
      <c r="K102" s="220" t="s">
        <v>114</v>
      </c>
      <c r="L102" s="221"/>
      <c r="M102" s="221"/>
      <c r="N102" s="221"/>
      <c r="O102" s="221"/>
      <c r="P102" s="221"/>
      <c r="Q102" s="221"/>
      <c r="R102" s="221"/>
      <c r="S102" s="221"/>
      <c r="T102" s="435">
        <v>447.44</v>
      </c>
      <c r="U102" s="435">
        <f t="shared" si="18"/>
        <v>10738.56</v>
      </c>
      <c r="V102" s="435">
        <v>111.86125</v>
      </c>
      <c r="W102" s="465">
        <f t="shared" si="19"/>
        <v>2684.67</v>
      </c>
      <c r="X102" s="466">
        <f t="shared" si="22"/>
        <v>13423.23</v>
      </c>
      <c r="Y102" s="455">
        <v>13423.2</v>
      </c>
      <c r="Z102" s="455">
        <v>0</v>
      </c>
      <c r="AA102" s="64">
        <f t="shared" si="20"/>
        <v>13423.2</v>
      </c>
      <c r="AB102" s="467">
        <f t="shared" si="21"/>
        <v>0.029999999998835847</v>
      </c>
      <c r="AC102" s="221">
        <f>700*0.8</f>
        <v>560</v>
      </c>
      <c r="AD102" s="411"/>
      <c r="AE102" s="221">
        <f>700*0.2</f>
        <v>140</v>
      </c>
      <c r="AF102" s="222"/>
      <c r="AG102" s="223">
        <v>700</v>
      </c>
      <c r="AH102" s="224"/>
    </row>
    <row r="103" spans="1:34" s="406" customFormat="1" ht="19.5" customHeight="1">
      <c r="A103" s="106" t="s">
        <v>359</v>
      </c>
      <c r="B103" s="107" t="s">
        <v>175</v>
      </c>
      <c r="C103" s="568" t="s">
        <v>174</v>
      </c>
      <c r="D103" s="568"/>
      <c r="E103" s="568"/>
      <c r="F103" s="568"/>
      <c r="G103" s="568"/>
      <c r="H103" s="568"/>
      <c r="I103" s="568"/>
      <c r="J103" s="109">
        <v>58</v>
      </c>
      <c r="K103" s="76" t="s">
        <v>65</v>
      </c>
      <c r="L103" s="70"/>
      <c r="M103" s="70"/>
      <c r="N103" s="70"/>
      <c r="O103" s="70"/>
      <c r="P103" s="70"/>
      <c r="Q103" s="70"/>
      <c r="R103" s="70"/>
      <c r="S103" s="70"/>
      <c r="T103" s="435">
        <v>2.6767241379310347</v>
      </c>
      <c r="U103" s="435">
        <f t="shared" si="18"/>
        <v>155.25</v>
      </c>
      <c r="V103" s="435">
        <v>2.532758620689655</v>
      </c>
      <c r="W103" s="435">
        <f t="shared" si="19"/>
        <v>146.9</v>
      </c>
      <c r="X103" s="436">
        <f t="shared" si="22"/>
        <v>302.15</v>
      </c>
      <c r="Y103" s="455">
        <v>302.15</v>
      </c>
      <c r="Z103" s="455">
        <v>0</v>
      </c>
      <c r="AA103" s="64">
        <f t="shared" si="20"/>
        <v>302.15</v>
      </c>
      <c r="AB103" s="64" t="str">
        <f t="shared" si="21"/>
        <v>OK</v>
      </c>
      <c r="AC103" s="70">
        <v>2.75</v>
      </c>
      <c r="AD103" s="63"/>
      <c r="AE103" s="70">
        <v>2.6</v>
      </c>
      <c r="AF103" s="79"/>
      <c r="AG103" s="206">
        <f t="shared" si="0"/>
        <v>5.35</v>
      </c>
      <c r="AH103" s="210">
        <v>5.35</v>
      </c>
    </row>
    <row r="104" spans="1:34" s="406" customFormat="1" ht="12.75">
      <c r="A104" s="106" t="s">
        <v>360</v>
      </c>
      <c r="B104" s="107" t="s">
        <v>239</v>
      </c>
      <c r="C104" s="568" t="s">
        <v>240</v>
      </c>
      <c r="D104" s="568"/>
      <c r="E104" s="568"/>
      <c r="F104" s="568"/>
      <c r="G104" s="568"/>
      <c r="H104" s="568"/>
      <c r="I104" s="568"/>
      <c r="J104" s="109">
        <v>497.42</v>
      </c>
      <c r="K104" s="76" t="s">
        <v>65</v>
      </c>
      <c r="L104" s="70"/>
      <c r="M104" s="70"/>
      <c r="N104" s="70"/>
      <c r="O104" s="70"/>
      <c r="P104" s="70"/>
      <c r="Q104" s="70"/>
      <c r="R104" s="70"/>
      <c r="S104" s="70"/>
      <c r="T104" s="435">
        <v>7.4866310160427805</v>
      </c>
      <c r="U104" s="435">
        <f t="shared" si="18"/>
        <v>3724</v>
      </c>
      <c r="V104" s="435">
        <v>2.540810582606248</v>
      </c>
      <c r="W104" s="435">
        <f t="shared" si="19"/>
        <v>1263.85</v>
      </c>
      <c r="X104" s="436">
        <f t="shared" si="22"/>
        <v>4987.85</v>
      </c>
      <c r="Y104" s="455">
        <v>4987.85</v>
      </c>
      <c r="Z104" s="455">
        <v>0</v>
      </c>
      <c r="AA104" s="64">
        <f t="shared" si="20"/>
        <v>4987.85</v>
      </c>
      <c r="AB104" s="64" t="str">
        <f t="shared" si="21"/>
        <v>OK</v>
      </c>
      <c r="AC104" s="70">
        <v>7.69</v>
      </c>
      <c r="AD104" s="63"/>
      <c r="AE104" s="70">
        <v>2.61</v>
      </c>
      <c r="AF104" s="79"/>
      <c r="AG104" s="206">
        <f t="shared" si="0"/>
        <v>10.3</v>
      </c>
      <c r="AH104" s="210">
        <v>10.3</v>
      </c>
    </row>
    <row r="105" spans="1:34" s="406" customFormat="1" ht="19.5" customHeight="1">
      <c r="A105" s="106" t="s">
        <v>361</v>
      </c>
      <c r="B105" s="107" t="s">
        <v>177</v>
      </c>
      <c r="C105" s="568" t="s">
        <v>176</v>
      </c>
      <c r="D105" s="568"/>
      <c r="E105" s="568"/>
      <c r="F105" s="568"/>
      <c r="G105" s="568"/>
      <c r="H105" s="568"/>
      <c r="I105" s="568"/>
      <c r="J105" s="109">
        <v>6</v>
      </c>
      <c r="K105" s="76" t="s">
        <v>114</v>
      </c>
      <c r="L105" s="70"/>
      <c r="M105" s="70"/>
      <c r="N105" s="70"/>
      <c r="O105" s="70"/>
      <c r="P105" s="70"/>
      <c r="Q105" s="70"/>
      <c r="R105" s="70"/>
      <c r="S105" s="70"/>
      <c r="T105" s="435">
        <v>14.469999999999999</v>
      </c>
      <c r="U105" s="435">
        <f t="shared" si="18"/>
        <v>86.82</v>
      </c>
      <c r="V105" s="435">
        <v>8.63</v>
      </c>
      <c r="W105" s="435">
        <f t="shared" si="19"/>
        <v>51.78</v>
      </c>
      <c r="X105" s="466">
        <f t="shared" si="22"/>
        <v>138.6</v>
      </c>
      <c r="Y105" s="455">
        <v>138.59</v>
      </c>
      <c r="Z105" s="455">
        <v>0</v>
      </c>
      <c r="AA105" s="64">
        <f t="shared" si="20"/>
        <v>138.59</v>
      </c>
      <c r="AB105" s="467">
        <f t="shared" si="21"/>
        <v>0.009999999999990905</v>
      </c>
      <c r="AC105" s="70">
        <v>14.87</v>
      </c>
      <c r="AD105" s="63"/>
      <c r="AE105" s="70">
        <v>8.87</v>
      </c>
      <c r="AF105" s="79"/>
      <c r="AG105" s="206">
        <f t="shared" si="0"/>
        <v>23.74</v>
      </c>
      <c r="AH105" s="210">
        <v>23.74</v>
      </c>
    </row>
    <row r="106" spans="1:34" s="406" customFormat="1" ht="19.5" customHeight="1">
      <c r="A106" s="106" t="s">
        <v>362</v>
      </c>
      <c r="B106" s="107" t="s">
        <v>181</v>
      </c>
      <c r="C106" s="568" t="s">
        <v>178</v>
      </c>
      <c r="D106" s="568"/>
      <c r="E106" s="568"/>
      <c r="F106" s="568"/>
      <c r="G106" s="568"/>
      <c r="H106" s="568"/>
      <c r="I106" s="568"/>
      <c r="J106" s="109">
        <v>1</v>
      </c>
      <c r="K106" s="76" t="s">
        <v>114</v>
      </c>
      <c r="L106" s="70"/>
      <c r="M106" s="70"/>
      <c r="N106" s="70"/>
      <c r="O106" s="70"/>
      <c r="P106" s="70"/>
      <c r="Q106" s="70"/>
      <c r="R106" s="70"/>
      <c r="S106" s="70"/>
      <c r="T106" s="435">
        <v>13.97</v>
      </c>
      <c r="U106" s="435">
        <f t="shared" si="18"/>
        <v>13.97</v>
      </c>
      <c r="V106" s="435">
        <v>6.99</v>
      </c>
      <c r="W106" s="435">
        <f t="shared" si="19"/>
        <v>6.99</v>
      </c>
      <c r="X106" s="436">
        <f t="shared" si="22"/>
        <v>20.96</v>
      </c>
      <c r="Y106" s="455">
        <v>20.96</v>
      </c>
      <c r="Z106" s="455">
        <v>0</v>
      </c>
      <c r="AA106" s="64">
        <f t="shared" si="20"/>
        <v>20.96</v>
      </c>
      <c r="AB106" s="64" t="str">
        <f t="shared" si="21"/>
        <v>OK</v>
      </c>
      <c r="AC106" s="70">
        <v>14.35</v>
      </c>
      <c r="AD106" s="63"/>
      <c r="AE106" s="70">
        <v>7.18</v>
      </c>
      <c r="AF106" s="79"/>
      <c r="AG106" s="206">
        <f aca="true" t="shared" si="23" ref="AG106:AG157">AE106+AC106</f>
        <v>21.53</v>
      </c>
      <c r="AH106" s="210">
        <v>21.53</v>
      </c>
    </row>
    <row r="107" spans="1:34" s="406" customFormat="1" ht="19.5" customHeight="1">
      <c r="A107" s="106" t="s">
        <v>363</v>
      </c>
      <c r="B107" s="107" t="s">
        <v>180</v>
      </c>
      <c r="C107" s="568" t="s">
        <v>179</v>
      </c>
      <c r="D107" s="568"/>
      <c r="E107" s="568"/>
      <c r="F107" s="568"/>
      <c r="G107" s="568"/>
      <c r="H107" s="568"/>
      <c r="I107" s="568"/>
      <c r="J107" s="109">
        <v>3</v>
      </c>
      <c r="K107" s="76" t="s">
        <v>114</v>
      </c>
      <c r="L107" s="70"/>
      <c r="M107" s="70"/>
      <c r="N107" s="70"/>
      <c r="O107" s="70"/>
      <c r="P107" s="70"/>
      <c r="Q107" s="70"/>
      <c r="R107" s="70"/>
      <c r="S107" s="70"/>
      <c r="T107" s="435">
        <v>26.406666666666666</v>
      </c>
      <c r="U107" s="435">
        <f t="shared" si="18"/>
        <v>79.22</v>
      </c>
      <c r="V107" s="435">
        <v>16.003333333333334</v>
      </c>
      <c r="W107" s="435">
        <f t="shared" si="19"/>
        <v>48.010000000000005</v>
      </c>
      <c r="X107" s="436">
        <f t="shared" si="22"/>
        <v>127.23</v>
      </c>
      <c r="Y107" s="455">
        <v>127.23</v>
      </c>
      <c r="Z107" s="455">
        <v>0</v>
      </c>
      <c r="AA107" s="64">
        <f t="shared" si="20"/>
        <v>127.23</v>
      </c>
      <c r="AB107" s="64" t="str">
        <f t="shared" si="21"/>
        <v>OK</v>
      </c>
      <c r="AC107" s="70">
        <f>27.09+0.04</f>
        <v>27.13</v>
      </c>
      <c r="AD107" s="63"/>
      <c r="AE107" s="70">
        <v>16.44</v>
      </c>
      <c r="AF107" s="79"/>
      <c r="AG107" s="206">
        <f t="shared" si="23"/>
        <v>43.57</v>
      </c>
      <c r="AH107" s="210">
        <v>43.57</v>
      </c>
    </row>
    <row r="108" spans="1:34" s="406" customFormat="1" ht="19.5" customHeight="1">
      <c r="A108" s="106" t="s">
        <v>364</v>
      </c>
      <c r="B108" s="107" t="s">
        <v>183</v>
      </c>
      <c r="C108" s="568" t="s">
        <v>182</v>
      </c>
      <c r="D108" s="568"/>
      <c r="E108" s="568"/>
      <c r="F108" s="568"/>
      <c r="G108" s="568"/>
      <c r="H108" s="568"/>
      <c r="I108" s="568"/>
      <c r="J108" s="109">
        <v>2</v>
      </c>
      <c r="K108" s="76" t="s">
        <v>114</v>
      </c>
      <c r="L108" s="70"/>
      <c r="M108" s="70"/>
      <c r="N108" s="70"/>
      <c r="O108" s="70"/>
      <c r="P108" s="70"/>
      <c r="Q108" s="70"/>
      <c r="R108" s="70"/>
      <c r="S108" s="70"/>
      <c r="T108" s="435">
        <v>42.905</v>
      </c>
      <c r="U108" s="435">
        <f t="shared" si="18"/>
        <v>85.81</v>
      </c>
      <c r="V108" s="435">
        <v>8.03</v>
      </c>
      <c r="W108" s="435">
        <f t="shared" si="19"/>
        <v>16.06</v>
      </c>
      <c r="X108" s="436">
        <f t="shared" si="22"/>
        <v>101.87</v>
      </c>
      <c r="Y108" s="455">
        <v>101.87</v>
      </c>
      <c r="Z108" s="455">
        <v>0</v>
      </c>
      <c r="AA108" s="64">
        <f t="shared" si="20"/>
        <v>101.87</v>
      </c>
      <c r="AB108" s="64" t="str">
        <f t="shared" si="21"/>
        <v>OK</v>
      </c>
      <c r="AC108" s="70">
        <f>44.08+0.01</f>
        <v>44.089999999999996</v>
      </c>
      <c r="AD108" s="63"/>
      <c r="AE108" s="70">
        <v>8.25</v>
      </c>
      <c r="AF108" s="79"/>
      <c r="AG108" s="206">
        <f t="shared" si="23"/>
        <v>52.339999999999996</v>
      </c>
      <c r="AH108" s="210">
        <v>52.34</v>
      </c>
    </row>
    <row r="109" spans="1:34" s="406" customFormat="1" ht="19.5" customHeight="1">
      <c r="A109" s="106" t="s">
        <v>522</v>
      </c>
      <c r="B109" s="107" t="s">
        <v>469</v>
      </c>
      <c r="C109" s="568" t="s">
        <v>470</v>
      </c>
      <c r="D109" s="568"/>
      <c r="E109" s="568"/>
      <c r="F109" s="568"/>
      <c r="G109" s="568"/>
      <c r="H109" s="568"/>
      <c r="I109" s="568"/>
      <c r="J109" s="109">
        <v>335.75</v>
      </c>
      <c r="K109" s="76" t="s">
        <v>65</v>
      </c>
      <c r="L109" s="70"/>
      <c r="M109" s="70"/>
      <c r="N109" s="70"/>
      <c r="O109" s="70"/>
      <c r="P109" s="70"/>
      <c r="Q109" s="70"/>
      <c r="R109" s="70"/>
      <c r="S109" s="70"/>
      <c r="T109" s="435">
        <v>0.12783320923306032</v>
      </c>
      <c r="U109" s="435">
        <f t="shared" si="18"/>
        <v>42.92</v>
      </c>
      <c r="V109" s="435">
        <v>0.30361876396128074</v>
      </c>
      <c r="W109" s="435">
        <f t="shared" si="19"/>
        <v>101.94000000000001</v>
      </c>
      <c r="X109" s="436">
        <f t="shared" si="22"/>
        <v>144.86</v>
      </c>
      <c r="Y109" s="455">
        <v>144.86</v>
      </c>
      <c r="Z109" s="455">
        <v>0</v>
      </c>
      <c r="AA109" s="64">
        <f t="shared" si="20"/>
        <v>144.86</v>
      </c>
      <c r="AB109" s="64" t="str">
        <f t="shared" si="21"/>
        <v>OK</v>
      </c>
      <c r="AC109" s="70">
        <v>0.13</v>
      </c>
      <c r="AD109" s="63"/>
      <c r="AE109" s="70">
        <v>0.31</v>
      </c>
      <c r="AF109" s="79"/>
      <c r="AG109" s="206">
        <f t="shared" si="23"/>
        <v>0.44</v>
      </c>
      <c r="AH109" s="210">
        <v>0.44</v>
      </c>
    </row>
    <row r="110" spans="1:34" s="407" customFormat="1" ht="12.75">
      <c r="A110" s="123">
        <v>8</v>
      </c>
      <c r="B110" s="575" t="s">
        <v>184</v>
      </c>
      <c r="C110" s="575"/>
      <c r="D110" s="575"/>
      <c r="E110" s="575"/>
      <c r="F110" s="575"/>
      <c r="G110" s="575"/>
      <c r="H110" s="575"/>
      <c r="I110" s="575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437"/>
      <c r="U110" s="433">
        <f>SUM(U111:U131)</f>
        <v>9248.991</v>
      </c>
      <c r="V110" s="437"/>
      <c r="W110" s="433">
        <f>SUM(W111:W131)</f>
        <v>2912.88</v>
      </c>
      <c r="X110" s="434">
        <f>U110+W110</f>
        <v>12161.871</v>
      </c>
      <c r="Y110" s="454"/>
      <c r="Z110" s="454"/>
      <c r="AA110" s="454"/>
      <c r="AB110" s="408"/>
      <c r="AC110" s="207" t="s">
        <v>395</v>
      </c>
      <c r="AD110" s="115"/>
      <c r="AE110" s="207" t="s">
        <v>396</v>
      </c>
      <c r="AF110" s="114"/>
      <c r="AG110" s="205" t="s">
        <v>486</v>
      </c>
      <c r="AH110" s="209" t="s">
        <v>492</v>
      </c>
    </row>
    <row r="111" spans="1:34" s="406" customFormat="1" ht="19.5" customHeight="1">
      <c r="A111" s="106" t="s">
        <v>314</v>
      </c>
      <c r="B111" s="107" t="s">
        <v>188</v>
      </c>
      <c r="C111" s="568" t="s">
        <v>185</v>
      </c>
      <c r="D111" s="568"/>
      <c r="E111" s="568"/>
      <c r="F111" s="568"/>
      <c r="G111" s="568"/>
      <c r="H111" s="568"/>
      <c r="I111" s="568"/>
      <c r="J111" s="109">
        <v>0</v>
      </c>
      <c r="K111" s="76" t="s">
        <v>65</v>
      </c>
      <c r="L111" s="70"/>
      <c r="M111" s="70"/>
      <c r="N111" s="70"/>
      <c r="O111" s="70"/>
      <c r="P111" s="70"/>
      <c r="Q111" s="70"/>
      <c r="R111" s="70"/>
      <c r="S111" s="70"/>
      <c r="T111" s="435">
        <v>5.521604938271604</v>
      </c>
      <c r="U111" s="435">
        <f aca="true" t="shared" si="24" ref="U111:U131">J111*T111</f>
        <v>0</v>
      </c>
      <c r="V111" s="435">
        <v>8.302469135802468</v>
      </c>
      <c r="W111" s="435">
        <f aca="true" t="shared" si="25" ref="W111:W131">(V111*J111)</f>
        <v>0</v>
      </c>
      <c r="X111" s="436">
        <f>ROUND(U111+W111,2)</f>
        <v>0</v>
      </c>
      <c r="Y111" s="455">
        <v>44.78</v>
      </c>
      <c r="Z111" s="455">
        <v>44.78</v>
      </c>
      <c r="AA111" s="64">
        <f aca="true" t="shared" si="26" ref="AA111:AA131">IF((Y111=Z111),0,(Y111-Z111))</f>
        <v>0</v>
      </c>
      <c r="AB111" s="467" t="str">
        <f aca="true" t="shared" si="27" ref="AB111:AB131">IF((X111=AA111),"OK",(X111-AA111))</f>
        <v>OK</v>
      </c>
      <c r="AC111" s="70">
        <f>5.65+0.02</f>
        <v>5.67</v>
      </c>
      <c r="AD111" s="63"/>
      <c r="AE111" s="70">
        <v>8.53</v>
      </c>
      <c r="AF111" s="79"/>
      <c r="AG111" s="206">
        <f t="shared" si="23"/>
        <v>14.2</v>
      </c>
      <c r="AH111" s="210">
        <v>14.2</v>
      </c>
    </row>
    <row r="112" spans="1:34" s="406" customFormat="1" ht="19.5" customHeight="1">
      <c r="A112" s="106" t="s">
        <v>365</v>
      </c>
      <c r="B112" s="107" t="s">
        <v>187</v>
      </c>
      <c r="C112" s="568" t="s">
        <v>186</v>
      </c>
      <c r="D112" s="568"/>
      <c r="E112" s="568"/>
      <c r="F112" s="568"/>
      <c r="G112" s="568"/>
      <c r="H112" s="568"/>
      <c r="I112" s="568"/>
      <c r="J112" s="109">
        <v>0</v>
      </c>
      <c r="K112" s="76" t="s">
        <v>65</v>
      </c>
      <c r="L112" s="70"/>
      <c r="M112" s="70"/>
      <c r="N112" s="70"/>
      <c r="O112" s="70"/>
      <c r="P112" s="70"/>
      <c r="Q112" s="70"/>
      <c r="R112" s="70"/>
      <c r="S112" s="70"/>
      <c r="T112" s="435">
        <v>9.10043352601156</v>
      </c>
      <c r="U112" s="435">
        <f t="shared" si="24"/>
        <v>0</v>
      </c>
      <c r="V112" s="435">
        <v>0.5195086705202312</v>
      </c>
      <c r="W112" s="435">
        <f t="shared" si="25"/>
        <v>0</v>
      </c>
      <c r="X112" s="436">
        <f aca="true" t="shared" si="28" ref="X112:X131">ROUND(U112+W112,2)</f>
        <v>0</v>
      </c>
      <c r="Y112" s="455">
        <v>266.28</v>
      </c>
      <c r="Z112" s="455">
        <v>266.28</v>
      </c>
      <c r="AA112" s="64">
        <f t="shared" si="26"/>
        <v>0</v>
      </c>
      <c r="AB112" s="64" t="str">
        <f t="shared" si="27"/>
        <v>OK</v>
      </c>
      <c r="AC112" s="70">
        <v>9.35</v>
      </c>
      <c r="AD112" s="63"/>
      <c r="AE112" s="70">
        <v>0.53</v>
      </c>
      <c r="AF112" s="79"/>
      <c r="AG112" s="206">
        <f t="shared" si="23"/>
        <v>9.879999999999999</v>
      </c>
      <c r="AH112" s="210">
        <v>9.88</v>
      </c>
    </row>
    <row r="113" spans="1:34" s="406" customFormat="1" ht="19.5" customHeight="1">
      <c r="A113" s="106" t="s">
        <v>366</v>
      </c>
      <c r="B113" s="107" t="s">
        <v>190</v>
      </c>
      <c r="C113" s="568" t="s">
        <v>189</v>
      </c>
      <c r="D113" s="568"/>
      <c r="E113" s="568"/>
      <c r="F113" s="568"/>
      <c r="G113" s="568"/>
      <c r="H113" s="568"/>
      <c r="I113" s="568"/>
      <c r="J113" s="109">
        <v>0</v>
      </c>
      <c r="K113" s="76" t="s">
        <v>65</v>
      </c>
      <c r="L113" s="70"/>
      <c r="M113" s="70"/>
      <c r="N113" s="70"/>
      <c r="O113" s="70"/>
      <c r="P113" s="70"/>
      <c r="Q113" s="70"/>
      <c r="R113" s="70"/>
      <c r="S113" s="70"/>
      <c r="T113" s="435">
        <v>5.361471861471861</v>
      </c>
      <c r="U113" s="435">
        <f t="shared" si="24"/>
        <v>0</v>
      </c>
      <c r="V113" s="465">
        <v>6.774891774891775</v>
      </c>
      <c r="W113" s="435">
        <f t="shared" si="25"/>
        <v>0</v>
      </c>
      <c r="X113" s="436">
        <f t="shared" si="28"/>
        <v>0</v>
      </c>
      <c r="Y113" s="455">
        <v>56.07</v>
      </c>
      <c r="Z113" s="455">
        <v>56.07</v>
      </c>
      <c r="AA113" s="64">
        <f t="shared" si="26"/>
        <v>0</v>
      </c>
      <c r="AB113" s="64" t="str">
        <f t="shared" si="27"/>
        <v>OK</v>
      </c>
      <c r="AC113" s="70">
        <v>5.51</v>
      </c>
      <c r="AD113" s="63"/>
      <c r="AE113" s="70">
        <v>6.96</v>
      </c>
      <c r="AF113" s="79"/>
      <c r="AG113" s="206">
        <f t="shared" si="23"/>
        <v>12.469999999999999</v>
      </c>
      <c r="AH113" s="210">
        <v>12.47</v>
      </c>
    </row>
    <row r="114" spans="1:34" s="406" customFormat="1" ht="19.5" customHeight="1">
      <c r="A114" s="106" t="s">
        <v>367</v>
      </c>
      <c r="B114" s="107" t="s">
        <v>192</v>
      </c>
      <c r="C114" s="568" t="s">
        <v>191</v>
      </c>
      <c r="D114" s="568"/>
      <c r="E114" s="568"/>
      <c r="F114" s="568"/>
      <c r="G114" s="568"/>
      <c r="H114" s="568"/>
      <c r="I114" s="568"/>
      <c r="J114" s="109">
        <v>0</v>
      </c>
      <c r="K114" s="76" t="s">
        <v>65</v>
      </c>
      <c r="L114" s="70"/>
      <c r="M114" s="70"/>
      <c r="N114" s="70"/>
      <c r="O114" s="70"/>
      <c r="P114" s="70"/>
      <c r="Q114" s="70"/>
      <c r="R114" s="70"/>
      <c r="S114" s="70"/>
      <c r="T114" s="435">
        <v>9.42686567164179</v>
      </c>
      <c r="U114" s="435">
        <f t="shared" si="24"/>
        <v>0</v>
      </c>
      <c r="V114" s="435">
        <v>8.486567164179105</v>
      </c>
      <c r="W114" s="435">
        <f t="shared" si="25"/>
        <v>0</v>
      </c>
      <c r="X114" s="436">
        <f t="shared" si="28"/>
        <v>0</v>
      </c>
      <c r="Y114" s="455">
        <v>60.01</v>
      </c>
      <c r="Z114" s="455">
        <v>60.01</v>
      </c>
      <c r="AA114" s="64">
        <f t="shared" si="26"/>
        <v>0</v>
      </c>
      <c r="AB114" s="64" t="str">
        <f t="shared" si="27"/>
        <v>OK</v>
      </c>
      <c r="AC114" s="70">
        <f>9.67+0.02</f>
        <v>9.69</v>
      </c>
      <c r="AD114" s="63"/>
      <c r="AE114" s="70">
        <v>8.72</v>
      </c>
      <c r="AF114" s="79"/>
      <c r="AG114" s="206">
        <f t="shared" si="23"/>
        <v>18.41</v>
      </c>
      <c r="AH114" s="210">
        <v>18.41</v>
      </c>
    </row>
    <row r="115" spans="1:34" s="406" customFormat="1" ht="19.5" customHeight="1">
      <c r="A115" s="106" t="s">
        <v>368</v>
      </c>
      <c r="B115" s="107" t="s">
        <v>193</v>
      </c>
      <c r="C115" s="568" t="s">
        <v>194</v>
      </c>
      <c r="D115" s="568"/>
      <c r="E115" s="568"/>
      <c r="F115" s="568"/>
      <c r="G115" s="568"/>
      <c r="H115" s="568"/>
      <c r="I115" s="568"/>
      <c r="J115" s="109">
        <v>0</v>
      </c>
      <c r="K115" s="76" t="s">
        <v>65</v>
      </c>
      <c r="L115" s="70"/>
      <c r="M115" s="70"/>
      <c r="N115" s="70"/>
      <c r="O115" s="70"/>
      <c r="P115" s="70"/>
      <c r="Q115" s="70"/>
      <c r="R115" s="70"/>
      <c r="S115" s="70"/>
      <c r="T115" s="435">
        <v>17.881706528765353</v>
      </c>
      <c r="U115" s="435">
        <f t="shared" si="24"/>
        <v>0</v>
      </c>
      <c r="V115" s="435">
        <v>16.49935358758888</v>
      </c>
      <c r="W115" s="435">
        <f t="shared" si="25"/>
        <v>0</v>
      </c>
      <c r="X115" s="436">
        <f t="shared" si="28"/>
        <v>0</v>
      </c>
      <c r="Y115" s="455">
        <v>1063.75</v>
      </c>
      <c r="Z115" s="455">
        <v>1063.75</v>
      </c>
      <c r="AA115" s="64">
        <f t="shared" si="26"/>
        <v>0</v>
      </c>
      <c r="AB115" s="64" t="str">
        <f t="shared" si="27"/>
        <v>OK</v>
      </c>
      <c r="AC115" s="70">
        <f>18.31+0.06</f>
        <v>18.369999999999997</v>
      </c>
      <c r="AD115" s="63"/>
      <c r="AE115" s="70">
        <v>16.95</v>
      </c>
      <c r="AF115" s="79"/>
      <c r="AG115" s="206">
        <f t="shared" si="23"/>
        <v>35.31999999999999</v>
      </c>
      <c r="AH115" s="210">
        <v>35.32</v>
      </c>
    </row>
    <row r="116" spans="1:34" s="406" customFormat="1" ht="19.5" customHeight="1">
      <c r="A116" s="106" t="s">
        <v>369</v>
      </c>
      <c r="B116" s="107" t="s">
        <v>196</v>
      </c>
      <c r="C116" s="568" t="s">
        <v>195</v>
      </c>
      <c r="D116" s="568"/>
      <c r="E116" s="568"/>
      <c r="F116" s="568"/>
      <c r="G116" s="568"/>
      <c r="H116" s="568"/>
      <c r="I116" s="568"/>
      <c r="J116" s="109">
        <f>4-3</f>
        <v>1</v>
      </c>
      <c r="K116" s="76" t="s">
        <v>114</v>
      </c>
      <c r="L116" s="70"/>
      <c r="M116" s="70"/>
      <c r="N116" s="70"/>
      <c r="O116" s="70"/>
      <c r="P116" s="70"/>
      <c r="Q116" s="70"/>
      <c r="R116" s="70"/>
      <c r="S116" s="70"/>
      <c r="T116" s="435">
        <v>146.68</v>
      </c>
      <c r="U116" s="435">
        <f t="shared" si="24"/>
        <v>146.68</v>
      </c>
      <c r="V116" s="435">
        <v>56.89</v>
      </c>
      <c r="W116" s="435">
        <f t="shared" si="25"/>
        <v>56.89</v>
      </c>
      <c r="X116" s="436">
        <f t="shared" si="28"/>
        <v>203.57</v>
      </c>
      <c r="Y116" s="455">
        <v>814.28</v>
      </c>
      <c r="Z116" s="455">
        <v>610.71</v>
      </c>
      <c r="AA116" s="64">
        <f t="shared" si="26"/>
        <v>203.56999999999994</v>
      </c>
      <c r="AB116" s="64" t="str">
        <f t="shared" si="27"/>
        <v>OK</v>
      </c>
      <c r="AC116" s="70">
        <f>150.47+0.24</f>
        <v>150.71</v>
      </c>
      <c r="AD116" s="63"/>
      <c r="AE116" s="70">
        <v>58.45</v>
      </c>
      <c r="AF116" s="79"/>
      <c r="AG116" s="206">
        <f t="shared" si="23"/>
        <v>209.16000000000003</v>
      </c>
      <c r="AH116" s="210">
        <v>209.16</v>
      </c>
    </row>
    <row r="117" spans="1:34" s="406" customFormat="1" ht="30" customHeight="1">
      <c r="A117" s="106" t="s">
        <v>370</v>
      </c>
      <c r="B117" s="107" t="s">
        <v>225</v>
      </c>
      <c r="C117" s="569" t="s">
        <v>224</v>
      </c>
      <c r="D117" s="570"/>
      <c r="E117" s="570"/>
      <c r="F117" s="570"/>
      <c r="G117" s="570"/>
      <c r="H117" s="570"/>
      <c r="I117" s="571"/>
      <c r="J117" s="109">
        <v>3</v>
      </c>
      <c r="K117" s="76" t="s">
        <v>114</v>
      </c>
      <c r="L117" s="70"/>
      <c r="M117" s="70"/>
      <c r="N117" s="70"/>
      <c r="O117" s="70"/>
      <c r="P117" s="70"/>
      <c r="Q117" s="70"/>
      <c r="R117" s="70"/>
      <c r="S117" s="70"/>
      <c r="T117" s="435">
        <v>61.60333333333333</v>
      </c>
      <c r="U117" s="435">
        <f t="shared" si="24"/>
        <v>184.81</v>
      </c>
      <c r="V117" s="435">
        <v>17.18</v>
      </c>
      <c r="W117" s="435">
        <f t="shared" si="25"/>
        <v>51.54</v>
      </c>
      <c r="X117" s="466">
        <f t="shared" si="28"/>
        <v>236.35</v>
      </c>
      <c r="Y117" s="455">
        <v>236.34</v>
      </c>
      <c r="Z117" s="455">
        <v>0</v>
      </c>
      <c r="AA117" s="64">
        <f t="shared" si="26"/>
        <v>236.34</v>
      </c>
      <c r="AB117" s="467">
        <f t="shared" si="27"/>
        <v>0.009999999999990905</v>
      </c>
      <c r="AC117" s="70">
        <f>63.24+0.06</f>
        <v>63.300000000000004</v>
      </c>
      <c r="AD117" s="63"/>
      <c r="AE117" s="70">
        <v>17.65</v>
      </c>
      <c r="AF117" s="79"/>
      <c r="AG117" s="206">
        <f t="shared" si="23"/>
        <v>80.95</v>
      </c>
      <c r="AH117" s="210">
        <v>80.95</v>
      </c>
    </row>
    <row r="118" spans="1:34" s="406" customFormat="1" ht="30" customHeight="1">
      <c r="A118" s="106" t="s">
        <v>371</v>
      </c>
      <c r="B118" s="107" t="s">
        <v>198</v>
      </c>
      <c r="C118" s="568" t="s">
        <v>197</v>
      </c>
      <c r="D118" s="568"/>
      <c r="E118" s="568"/>
      <c r="F118" s="568"/>
      <c r="G118" s="568"/>
      <c r="H118" s="568"/>
      <c r="I118" s="568"/>
      <c r="J118" s="109">
        <v>1</v>
      </c>
      <c r="K118" s="76" t="s">
        <v>114</v>
      </c>
      <c r="L118" s="70"/>
      <c r="M118" s="70"/>
      <c r="N118" s="70"/>
      <c r="O118" s="70"/>
      <c r="P118" s="70"/>
      <c r="Q118" s="70"/>
      <c r="R118" s="70"/>
      <c r="S118" s="70"/>
      <c r="T118" s="435">
        <v>82.15</v>
      </c>
      <c r="U118" s="435">
        <f t="shared" si="24"/>
        <v>82.15</v>
      </c>
      <c r="V118" s="435">
        <v>17.48</v>
      </c>
      <c r="W118" s="435">
        <f t="shared" si="25"/>
        <v>17.48</v>
      </c>
      <c r="X118" s="436">
        <f t="shared" si="28"/>
        <v>99.63</v>
      </c>
      <c r="Y118" s="455">
        <v>99.63</v>
      </c>
      <c r="Z118" s="455">
        <v>0</v>
      </c>
      <c r="AA118" s="64">
        <f t="shared" si="26"/>
        <v>99.63</v>
      </c>
      <c r="AB118" s="64" t="str">
        <f t="shared" si="27"/>
        <v>OK</v>
      </c>
      <c r="AC118" s="70">
        <f>84.34+0.06</f>
        <v>84.4</v>
      </c>
      <c r="AD118" s="63"/>
      <c r="AE118" s="70">
        <v>17.96</v>
      </c>
      <c r="AF118" s="79"/>
      <c r="AG118" s="206">
        <f t="shared" si="23"/>
        <v>102.36000000000001</v>
      </c>
      <c r="AH118" s="210">
        <v>102.36</v>
      </c>
    </row>
    <row r="119" spans="1:34" s="406" customFormat="1" ht="19.5" customHeight="1">
      <c r="A119" s="106" t="s">
        <v>372</v>
      </c>
      <c r="B119" s="107" t="s">
        <v>200</v>
      </c>
      <c r="C119" s="569" t="s">
        <v>199</v>
      </c>
      <c r="D119" s="570"/>
      <c r="E119" s="570"/>
      <c r="F119" s="570"/>
      <c r="G119" s="570"/>
      <c r="H119" s="570"/>
      <c r="I119" s="571"/>
      <c r="J119" s="109">
        <v>1</v>
      </c>
      <c r="K119" s="76" t="s">
        <v>114</v>
      </c>
      <c r="L119" s="70"/>
      <c r="M119" s="70"/>
      <c r="N119" s="70"/>
      <c r="O119" s="70"/>
      <c r="P119" s="70"/>
      <c r="Q119" s="70"/>
      <c r="R119" s="70"/>
      <c r="S119" s="70"/>
      <c r="T119" s="435">
        <v>71.76</v>
      </c>
      <c r="U119" s="435">
        <f t="shared" si="24"/>
        <v>71.76</v>
      </c>
      <c r="V119" s="435">
        <v>37.76</v>
      </c>
      <c r="W119" s="435">
        <f t="shared" si="25"/>
        <v>37.76</v>
      </c>
      <c r="X119" s="436">
        <f t="shared" si="28"/>
        <v>109.52</v>
      </c>
      <c r="Y119" s="455">
        <v>109.52</v>
      </c>
      <c r="Z119" s="455">
        <v>0</v>
      </c>
      <c r="AA119" s="64">
        <f t="shared" si="26"/>
        <v>109.52</v>
      </c>
      <c r="AB119" s="64" t="str">
        <f t="shared" si="27"/>
        <v>OK</v>
      </c>
      <c r="AC119" s="70">
        <f>73.57+0.16</f>
        <v>73.72999999999999</v>
      </c>
      <c r="AD119" s="63"/>
      <c r="AE119" s="70">
        <v>38.8</v>
      </c>
      <c r="AF119" s="79"/>
      <c r="AG119" s="206">
        <f t="shared" si="23"/>
        <v>112.52999999999999</v>
      </c>
      <c r="AH119" s="210">
        <v>112.53</v>
      </c>
    </row>
    <row r="120" spans="1:34" s="406" customFormat="1" ht="19.5" customHeight="1">
      <c r="A120" s="106" t="s">
        <v>373</v>
      </c>
      <c r="B120" s="107" t="s">
        <v>201</v>
      </c>
      <c r="C120" s="568" t="s">
        <v>242</v>
      </c>
      <c r="D120" s="568"/>
      <c r="E120" s="568"/>
      <c r="F120" s="568"/>
      <c r="G120" s="568"/>
      <c r="H120" s="568"/>
      <c r="I120" s="568"/>
      <c r="J120" s="109">
        <v>0</v>
      </c>
      <c r="K120" s="76" t="s">
        <v>114</v>
      </c>
      <c r="L120" s="70"/>
      <c r="M120" s="70"/>
      <c r="N120" s="70"/>
      <c r="O120" s="70"/>
      <c r="P120" s="70"/>
      <c r="Q120" s="70"/>
      <c r="R120" s="70"/>
      <c r="S120" s="70"/>
      <c r="T120" s="435">
        <v>2335.51</v>
      </c>
      <c r="U120" s="435">
        <f t="shared" si="24"/>
        <v>0</v>
      </c>
      <c r="V120" s="435">
        <v>290.5</v>
      </c>
      <c r="W120" s="435">
        <f t="shared" si="25"/>
        <v>0</v>
      </c>
      <c r="X120" s="436">
        <f t="shared" si="28"/>
        <v>0</v>
      </c>
      <c r="Y120" s="455">
        <v>2626.01</v>
      </c>
      <c r="Z120" s="455">
        <v>2626.01</v>
      </c>
      <c r="AA120" s="64">
        <f t="shared" si="26"/>
        <v>0</v>
      </c>
      <c r="AB120" s="64" t="str">
        <f t="shared" si="27"/>
        <v>OK</v>
      </c>
      <c r="AC120" s="70">
        <f>2346.24+52.28+1.2</f>
        <v>2399.72</v>
      </c>
      <c r="AD120" s="63"/>
      <c r="AE120" s="70">
        <v>298.49</v>
      </c>
      <c r="AF120" s="79"/>
      <c r="AG120" s="206">
        <f t="shared" si="23"/>
        <v>2698.21</v>
      </c>
      <c r="AH120" s="216">
        <v>2698.21</v>
      </c>
    </row>
    <row r="121" spans="1:34" s="406" customFormat="1" ht="19.5" customHeight="1">
      <c r="A121" s="106" t="s">
        <v>374</v>
      </c>
      <c r="B121" s="107" t="s">
        <v>246</v>
      </c>
      <c r="C121" s="568" t="s">
        <v>243</v>
      </c>
      <c r="D121" s="568"/>
      <c r="E121" s="568"/>
      <c r="F121" s="568"/>
      <c r="G121" s="568"/>
      <c r="H121" s="568"/>
      <c r="I121" s="568"/>
      <c r="J121" s="109">
        <v>0</v>
      </c>
      <c r="K121" s="76" t="s">
        <v>114</v>
      </c>
      <c r="L121" s="70"/>
      <c r="M121" s="70"/>
      <c r="N121" s="70"/>
      <c r="O121" s="70"/>
      <c r="P121" s="70"/>
      <c r="Q121" s="70"/>
      <c r="R121" s="70"/>
      <c r="S121" s="70"/>
      <c r="T121" s="435">
        <v>2613.53</v>
      </c>
      <c r="U121" s="435">
        <f t="shared" si="24"/>
        <v>0</v>
      </c>
      <c r="V121" s="435">
        <v>1661.97</v>
      </c>
      <c r="W121" s="435">
        <f t="shared" si="25"/>
        <v>0</v>
      </c>
      <c r="X121" s="436">
        <f t="shared" si="28"/>
        <v>0</v>
      </c>
      <c r="Y121" s="455">
        <v>4275.5</v>
      </c>
      <c r="Z121" s="455">
        <v>4275.5</v>
      </c>
      <c r="AA121" s="64">
        <f t="shared" si="26"/>
        <v>0</v>
      </c>
      <c r="AB121" s="64" t="str">
        <f t="shared" si="27"/>
        <v>OK</v>
      </c>
      <c r="AC121" s="70">
        <f>2617.45+61.7+6.24</f>
        <v>2685.3899999999994</v>
      </c>
      <c r="AD121" s="63"/>
      <c r="AE121" s="70">
        <v>1707.66</v>
      </c>
      <c r="AF121" s="79"/>
      <c r="AG121" s="206">
        <f t="shared" si="23"/>
        <v>4393.049999999999</v>
      </c>
      <c r="AH121" s="216">
        <v>4393.05</v>
      </c>
    </row>
    <row r="122" spans="1:34" s="406" customFormat="1" ht="19.5" customHeight="1">
      <c r="A122" s="106" t="s">
        <v>375</v>
      </c>
      <c r="B122" s="107" t="s">
        <v>245</v>
      </c>
      <c r="C122" s="568" t="s">
        <v>244</v>
      </c>
      <c r="D122" s="568"/>
      <c r="E122" s="568"/>
      <c r="F122" s="568"/>
      <c r="G122" s="568"/>
      <c r="H122" s="568"/>
      <c r="I122" s="568"/>
      <c r="J122" s="109">
        <v>1</v>
      </c>
      <c r="K122" s="76" t="s">
        <v>114</v>
      </c>
      <c r="L122" s="70"/>
      <c r="M122" s="70"/>
      <c r="N122" s="70"/>
      <c r="O122" s="70"/>
      <c r="P122" s="70"/>
      <c r="Q122" s="70"/>
      <c r="R122" s="70"/>
      <c r="S122" s="70"/>
      <c r="T122" s="435">
        <v>2886.24</v>
      </c>
      <c r="U122" s="435">
        <f t="shared" si="24"/>
        <v>2886.24</v>
      </c>
      <c r="V122" s="435">
        <v>1936.49</v>
      </c>
      <c r="W122" s="435">
        <f t="shared" si="25"/>
        <v>1936.49</v>
      </c>
      <c r="X122" s="466">
        <f t="shared" si="28"/>
        <v>4822.73</v>
      </c>
      <c r="Y122" s="455">
        <v>4822.72</v>
      </c>
      <c r="Z122" s="455">
        <v>0</v>
      </c>
      <c r="AA122" s="64">
        <f t="shared" si="26"/>
        <v>4822.72</v>
      </c>
      <c r="AB122" s="467">
        <f t="shared" si="27"/>
        <v>0.009999999999308784</v>
      </c>
      <c r="AC122" s="70">
        <f>2919.11+42.45+4.03</f>
        <v>2965.59</v>
      </c>
      <c r="AD122" s="63"/>
      <c r="AE122" s="70">
        <v>1989.73</v>
      </c>
      <c r="AF122" s="79"/>
      <c r="AG122" s="206">
        <f t="shared" si="23"/>
        <v>4955.32</v>
      </c>
      <c r="AH122" s="216">
        <v>4955.32</v>
      </c>
    </row>
    <row r="123" spans="1:34" s="406" customFormat="1" ht="19.5" customHeight="1">
      <c r="A123" s="106" t="s">
        <v>376</v>
      </c>
      <c r="B123" s="107" t="s">
        <v>203</v>
      </c>
      <c r="C123" s="568" t="s">
        <v>202</v>
      </c>
      <c r="D123" s="568"/>
      <c r="E123" s="568"/>
      <c r="F123" s="568"/>
      <c r="G123" s="568"/>
      <c r="H123" s="568"/>
      <c r="I123" s="568"/>
      <c r="J123" s="109">
        <v>6</v>
      </c>
      <c r="K123" s="76" t="s">
        <v>114</v>
      </c>
      <c r="L123" s="70"/>
      <c r="M123" s="70"/>
      <c r="N123" s="70"/>
      <c r="O123" s="70"/>
      <c r="P123" s="70"/>
      <c r="Q123" s="70"/>
      <c r="R123" s="70"/>
      <c r="S123" s="70"/>
      <c r="T123" s="435">
        <v>353.3416666666667</v>
      </c>
      <c r="U123" s="435">
        <f t="shared" si="24"/>
        <v>2120.05</v>
      </c>
      <c r="V123" s="435">
        <v>14.565</v>
      </c>
      <c r="W123" s="435">
        <f t="shared" si="25"/>
        <v>87.39</v>
      </c>
      <c r="X123" s="466">
        <f t="shared" si="28"/>
        <v>2207.44</v>
      </c>
      <c r="Y123" s="455">
        <v>2207.45</v>
      </c>
      <c r="Z123" s="455">
        <v>0</v>
      </c>
      <c r="AA123" s="64">
        <f t="shared" si="26"/>
        <v>2207.45</v>
      </c>
      <c r="AB123" s="467">
        <f t="shared" si="27"/>
        <v>-0.009999999999763531</v>
      </c>
      <c r="AC123" s="70">
        <f>363.02+0.04</f>
        <v>363.06</v>
      </c>
      <c r="AD123" s="63"/>
      <c r="AE123" s="70">
        <v>14.97</v>
      </c>
      <c r="AF123" s="79"/>
      <c r="AG123" s="206">
        <f t="shared" si="23"/>
        <v>378.03000000000003</v>
      </c>
      <c r="AH123" s="210">
        <v>378.03</v>
      </c>
    </row>
    <row r="124" spans="1:34" s="406" customFormat="1" ht="19.5" customHeight="1">
      <c r="A124" s="106" t="s">
        <v>377</v>
      </c>
      <c r="B124" s="107" t="s">
        <v>205</v>
      </c>
      <c r="C124" s="568" t="s">
        <v>204</v>
      </c>
      <c r="D124" s="568"/>
      <c r="E124" s="568"/>
      <c r="F124" s="568"/>
      <c r="G124" s="568"/>
      <c r="H124" s="568"/>
      <c r="I124" s="568"/>
      <c r="J124" s="109">
        <v>6</v>
      </c>
      <c r="K124" s="76" t="s">
        <v>114</v>
      </c>
      <c r="L124" s="70"/>
      <c r="M124" s="70"/>
      <c r="N124" s="70"/>
      <c r="O124" s="70"/>
      <c r="P124" s="70"/>
      <c r="Q124" s="70"/>
      <c r="R124" s="70"/>
      <c r="S124" s="70"/>
      <c r="T124" s="435">
        <v>179.135</v>
      </c>
      <c r="U124" s="435">
        <f t="shared" si="24"/>
        <v>1074.81</v>
      </c>
      <c r="V124" s="435">
        <v>16.395</v>
      </c>
      <c r="W124" s="435">
        <f t="shared" si="25"/>
        <v>98.37</v>
      </c>
      <c r="X124" s="466">
        <f t="shared" si="28"/>
        <v>1173.18</v>
      </c>
      <c r="Y124" s="455">
        <v>1173.19</v>
      </c>
      <c r="Z124" s="455">
        <v>0</v>
      </c>
      <c r="AA124" s="64">
        <f t="shared" si="26"/>
        <v>1173.19</v>
      </c>
      <c r="AB124" s="467">
        <f t="shared" si="27"/>
        <v>-0.009999999999990905</v>
      </c>
      <c r="AC124" s="70">
        <f>184.02+0.04</f>
        <v>184.06</v>
      </c>
      <c r="AD124" s="63"/>
      <c r="AE124" s="70">
        <v>16.85</v>
      </c>
      <c r="AF124" s="79"/>
      <c r="AG124" s="206">
        <f t="shared" si="23"/>
        <v>200.91</v>
      </c>
      <c r="AH124" s="210">
        <v>200.91</v>
      </c>
    </row>
    <row r="125" spans="1:34" s="406" customFormat="1" ht="19.5" customHeight="1">
      <c r="A125" s="106" t="s">
        <v>378</v>
      </c>
      <c r="B125" s="107" t="s">
        <v>207</v>
      </c>
      <c r="C125" s="568" t="s">
        <v>206</v>
      </c>
      <c r="D125" s="568"/>
      <c r="E125" s="568"/>
      <c r="F125" s="568"/>
      <c r="G125" s="568"/>
      <c r="H125" s="568"/>
      <c r="I125" s="568"/>
      <c r="J125" s="109">
        <v>6</v>
      </c>
      <c r="K125" s="76" t="s">
        <v>114</v>
      </c>
      <c r="L125" s="70"/>
      <c r="M125" s="70"/>
      <c r="N125" s="70"/>
      <c r="O125" s="70"/>
      <c r="P125" s="70"/>
      <c r="Q125" s="70"/>
      <c r="R125" s="70"/>
      <c r="S125" s="70"/>
      <c r="T125" s="435">
        <v>61.011833333333335</v>
      </c>
      <c r="U125" s="435">
        <f t="shared" si="24"/>
        <v>366.071</v>
      </c>
      <c r="V125" s="435">
        <v>1.5733333333333333</v>
      </c>
      <c r="W125" s="435">
        <f t="shared" si="25"/>
        <v>9.44</v>
      </c>
      <c r="X125" s="436">
        <f t="shared" si="28"/>
        <v>375.51</v>
      </c>
      <c r="Y125" s="455">
        <v>375.51</v>
      </c>
      <c r="Z125" s="455">
        <v>0</v>
      </c>
      <c r="AA125" s="64">
        <f t="shared" si="26"/>
        <v>375.51</v>
      </c>
      <c r="AB125" s="64" t="str">
        <f t="shared" si="27"/>
        <v>OK</v>
      </c>
      <c r="AC125" s="70">
        <v>62.69</v>
      </c>
      <c r="AD125" s="63"/>
      <c r="AE125" s="70">
        <v>1.62</v>
      </c>
      <c r="AF125" s="79"/>
      <c r="AG125" s="206">
        <f t="shared" si="23"/>
        <v>64.31</v>
      </c>
      <c r="AH125" s="210">
        <v>64.31</v>
      </c>
    </row>
    <row r="126" spans="1:34" s="406" customFormat="1" ht="19.5" customHeight="1">
      <c r="A126" s="106" t="s">
        <v>379</v>
      </c>
      <c r="B126" s="107" t="s">
        <v>209</v>
      </c>
      <c r="C126" s="568" t="s">
        <v>208</v>
      </c>
      <c r="D126" s="568"/>
      <c r="E126" s="568"/>
      <c r="F126" s="568"/>
      <c r="G126" s="568"/>
      <c r="H126" s="568"/>
      <c r="I126" s="568"/>
      <c r="J126" s="109">
        <v>6</v>
      </c>
      <c r="K126" s="76" t="s">
        <v>114</v>
      </c>
      <c r="L126" s="70"/>
      <c r="M126" s="70"/>
      <c r="N126" s="70"/>
      <c r="O126" s="70"/>
      <c r="P126" s="70"/>
      <c r="Q126" s="70"/>
      <c r="R126" s="70"/>
      <c r="S126" s="70"/>
      <c r="T126" s="435">
        <v>31.92833333333333</v>
      </c>
      <c r="U126" s="435">
        <f t="shared" si="24"/>
        <v>191.57</v>
      </c>
      <c r="V126" s="435">
        <v>4.626666666666667</v>
      </c>
      <c r="W126" s="435">
        <f t="shared" si="25"/>
        <v>27.76</v>
      </c>
      <c r="X126" s="436">
        <f t="shared" si="28"/>
        <v>219.33</v>
      </c>
      <c r="Y126" s="455">
        <v>219.33</v>
      </c>
      <c r="Z126" s="455">
        <v>0</v>
      </c>
      <c r="AA126" s="64">
        <f t="shared" si="26"/>
        <v>219.33</v>
      </c>
      <c r="AB126" s="64" t="str">
        <f t="shared" si="27"/>
        <v>OK</v>
      </c>
      <c r="AC126" s="70">
        <v>32.81</v>
      </c>
      <c r="AD126" s="63"/>
      <c r="AE126" s="70">
        <v>4.75</v>
      </c>
      <c r="AF126" s="79"/>
      <c r="AG126" s="206">
        <f t="shared" si="23"/>
        <v>37.56</v>
      </c>
      <c r="AH126" s="210">
        <v>37.56</v>
      </c>
    </row>
    <row r="127" spans="1:34" s="406" customFormat="1" ht="19.5" customHeight="1">
      <c r="A127" s="106" t="s">
        <v>380</v>
      </c>
      <c r="B127" s="107" t="s">
        <v>211</v>
      </c>
      <c r="C127" s="568" t="s">
        <v>210</v>
      </c>
      <c r="D127" s="568"/>
      <c r="E127" s="568"/>
      <c r="F127" s="568"/>
      <c r="G127" s="568"/>
      <c r="H127" s="568"/>
      <c r="I127" s="568"/>
      <c r="J127" s="109">
        <v>2</v>
      </c>
      <c r="K127" s="76" t="s">
        <v>114</v>
      </c>
      <c r="L127" s="70"/>
      <c r="M127" s="70"/>
      <c r="N127" s="70"/>
      <c r="O127" s="70"/>
      <c r="P127" s="70"/>
      <c r="Q127" s="70"/>
      <c r="R127" s="70"/>
      <c r="S127" s="70"/>
      <c r="T127" s="465">
        <v>15.055</v>
      </c>
      <c r="U127" s="435">
        <f t="shared" si="24"/>
        <v>30.11</v>
      </c>
      <c r="V127" s="435">
        <v>5.57</v>
      </c>
      <c r="W127" s="435">
        <f t="shared" si="25"/>
        <v>11.14</v>
      </c>
      <c r="X127" s="466">
        <f t="shared" si="28"/>
        <v>41.25</v>
      </c>
      <c r="Y127" s="455">
        <v>41.24</v>
      </c>
      <c r="Z127" s="455">
        <v>0</v>
      </c>
      <c r="AA127" s="64">
        <f t="shared" si="26"/>
        <v>41.24</v>
      </c>
      <c r="AB127" s="467">
        <f t="shared" si="27"/>
        <v>0.00999999999999801</v>
      </c>
      <c r="AC127" s="70">
        <v>15.47</v>
      </c>
      <c r="AD127" s="63"/>
      <c r="AE127" s="70">
        <v>5.72</v>
      </c>
      <c r="AF127" s="79"/>
      <c r="AG127" s="206">
        <f t="shared" si="23"/>
        <v>21.19</v>
      </c>
      <c r="AH127" s="210">
        <v>21.19</v>
      </c>
    </row>
    <row r="128" spans="1:34" s="406" customFormat="1" ht="12.75">
      <c r="A128" s="106" t="s">
        <v>381</v>
      </c>
      <c r="B128" s="107" t="s">
        <v>213</v>
      </c>
      <c r="C128" s="568" t="s">
        <v>212</v>
      </c>
      <c r="D128" s="568"/>
      <c r="E128" s="568"/>
      <c r="F128" s="568"/>
      <c r="G128" s="568"/>
      <c r="H128" s="568"/>
      <c r="I128" s="568"/>
      <c r="J128" s="109">
        <v>1</v>
      </c>
      <c r="K128" s="76" t="s">
        <v>114</v>
      </c>
      <c r="L128" s="70"/>
      <c r="M128" s="70"/>
      <c r="N128" s="70"/>
      <c r="O128" s="70"/>
      <c r="P128" s="70"/>
      <c r="Q128" s="70"/>
      <c r="R128" s="70"/>
      <c r="S128" s="70"/>
      <c r="T128" s="435">
        <v>462.41</v>
      </c>
      <c r="U128" s="435">
        <f t="shared" si="24"/>
        <v>462.41</v>
      </c>
      <c r="V128" s="435">
        <v>170.54</v>
      </c>
      <c r="W128" s="435">
        <f t="shared" si="25"/>
        <v>170.54</v>
      </c>
      <c r="X128" s="436">
        <f t="shared" si="28"/>
        <v>632.95</v>
      </c>
      <c r="Y128" s="455">
        <v>632.95</v>
      </c>
      <c r="Z128" s="455">
        <v>0</v>
      </c>
      <c r="AA128" s="64">
        <f t="shared" si="26"/>
        <v>632.95</v>
      </c>
      <c r="AB128" s="64" t="str">
        <f t="shared" si="27"/>
        <v>OK</v>
      </c>
      <c r="AC128" s="70">
        <f>474.37+0.76</f>
        <v>475.13</v>
      </c>
      <c r="AD128" s="63"/>
      <c r="AE128" s="70">
        <v>175.23</v>
      </c>
      <c r="AF128" s="79"/>
      <c r="AG128" s="206">
        <f t="shared" si="23"/>
        <v>650.36</v>
      </c>
      <c r="AH128" s="210">
        <v>650.36</v>
      </c>
    </row>
    <row r="129" spans="1:34" s="412" customFormat="1" ht="12.75">
      <c r="A129" s="106" t="s">
        <v>382</v>
      </c>
      <c r="B129" s="113" t="s">
        <v>494</v>
      </c>
      <c r="C129" s="636" t="s">
        <v>493</v>
      </c>
      <c r="D129" s="636"/>
      <c r="E129" s="636"/>
      <c r="F129" s="636"/>
      <c r="G129" s="636"/>
      <c r="H129" s="636"/>
      <c r="I129" s="636"/>
      <c r="J129" s="219">
        <v>2</v>
      </c>
      <c r="K129" s="220" t="s">
        <v>114</v>
      </c>
      <c r="L129" s="221"/>
      <c r="M129" s="221"/>
      <c r="N129" s="221"/>
      <c r="O129" s="221"/>
      <c r="P129" s="221"/>
      <c r="Q129" s="221"/>
      <c r="R129" s="221"/>
      <c r="S129" s="221"/>
      <c r="T129" s="435">
        <v>370.41</v>
      </c>
      <c r="U129" s="435">
        <f t="shared" si="24"/>
        <v>740.82</v>
      </c>
      <c r="V129" s="465">
        <v>92.605</v>
      </c>
      <c r="W129" s="435">
        <f t="shared" si="25"/>
        <v>185.21</v>
      </c>
      <c r="X129" s="436">
        <f t="shared" si="28"/>
        <v>926.03</v>
      </c>
      <c r="Y129" s="455">
        <v>926.03</v>
      </c>
      <c r="Z129" s="455">
        <v>0</v>
      </c>
      <c r="AA129" s="64">
        <f t="shared" si="26"/>
        <v>926.03</v>
      </c>
      <c r="AB129" s="64" t="str">
        <f t="shared" si="27"/>
        <v>OK</v>
      </c>
      <c r="AC129" s="221">
        <f>475.74*0.8</f>
        <v>380.59200000000004</v>
      </c>
      <c r="AD129" s="411"/>
      <c r="AE129" s="221">
        <f>475.74*0.2</f>
        <v>95.14800000000001</v>
      </c>
      <c r="AF129" s="222"/>
      <c r="AG129" s="223">
        <f t="shared" si="23"/>
        <v>475.74000000000007</v>
      </c>
      <c r="AH129" s="224">
        <v>475.74</v>
      </c>
    </row>
    <row r="130" spans="1:34" s="412" customFormat="1" ht="12.75" customHeight="1">
      <c r="A130" s="106" t="s">
        <v>383</v>
      </c>
      <c r="B130" s="113" t="s">
        <v>496</v>
      </c>
      <c r="C130" s="636" t="s">
        <v>495</v>
      </c>
      <c r="D130" s="636"/>
      <c r="E130" s="636"/>
      <c r="F130" s="636"/>
      <c r="G130" s="636"/>
      <c r="H130" s="636"/>
      <c r="I130" s="636"/>
      <c r="J130" s="219">
        <v>2</v>
      </c>
      <c r="K130" s="220" t="s">
        <v>114</v>
      </c>
      <c r="L130" s="221"/>
      <c r="M130" s="221"/>
      <c r="N130" s="221"/>
      <c r="O130" s="221"/>
      <c r="P130" s="221"/>
      <c r="Q130" s="221"/>
      <c r="R130" s="221"/>
      <c r="S130" s="221"/>
      <c r="T130" s="435">
        <v>220.115</v>
      </c>
      <c r="U130" s="435">
        <f t="shared" si="24"/>
        <v>440.23</v>
      </c>
      <c r="V130" s="435">
        <v>55.025</v>
      </c>
      <c r="W130" s="435">
        <f t="shared" si="25"/>
        <v>110.05</v>
      </c>
      <c r="X130" s="466">
        <f t="shared" si="28"/>
        <v>550.28</v>
      </c>
      <c r="Y130" s="455">
        <v>550.29</v>
      </c>
      <c r="Z130" s="455">
        <v>0</v>
      </c>
      <c r="AA130" s="64">
        <f t="shared" si="26"/>
        <v>550.29</v>
      </c>
      <c r="AB130" s="64">
        <f t="shared" si="27"/>
        <v>-0.009999999999990905</v>
      </c>
      <c r="AC130" s="221">
        <f>282.71*0.8</f>
        <v>226.168</v>
      </c>
      <c r="AD130" s="411"/>
      <c r="AE130" s="221">
        <f>282.71*0.2</f>
        <v>56.542</v>
      </c>
      <c r="AF130" s="222"/>
      <c r="AG130" s="223">
        <f t="shared" si="23"/>
        <v>282.71000000000004</v>
      </c>
      <c r="AH130" s="224">
        <v>282.71</v>
      </c>
    </row>
    <row r="131" spans="1:34" s="412" customFormat="1" ht="12.75" customHeight="1">
      <c r="A131" s="106" t="s">
        <v>384</v>
      </c>
      <c r="B131" s="113" t="s">
        <v>498</v>
      </c>
      <c r="C131" s="636" t="s">
        <v>497</v>
      </c>
      <c r="D131" s="636"/>
      <c r="E131" s="636"/>
      <c r="F131" s="636"/>
      <c r="G131" s="636"/>
      <c r="H131" s="636"/>
      <c r="I131" s="636"/>
      <c r="J131" s="219">
        <v>4</v>
      </c>
      <c r="K131" s="220" t="s">
        <v>114</v>
      </c>
      <c r="L131" s="221"/>
      <c r="M131" s="221"/>
      <c r="N131" s="221"/>
      <c r="O131" s="221"/>
      <c r="P131" s="221"/>
      <c r="Q131" s="221"/>
      <c r="R131" s="221"/>
      <c r="S131" s="221"/>
      <c r="T131" s="435">
        <v>112.82</v>
      </c>
      <c r="U131" s="435">
        <f t="shared" si="24"/>
        <v>451.28</v>
      </c>
      <c r="V131" s="465">
        <v>28.205</v>
      </c>
      <c r="W131" s="435">
        <f t="shared" si="25"/>
        <v>112.82</v>
      </c>
      <c r="X131" s="466">
        <f t="shared" si="28"/>
        <v>564.1</v>
      </c>
      <c r="Y131" s="455">
        <v>564.09</v>
      </c>
      <c r="Z131" s="455">
        <v>0</v>
      </c>
      <c r="AA131" s="64">
        <f t="shared" si="26"/>
        <v>564.09</v>
      </c>
      <c r="AB131" s="64">
        <f t="shared" si="27"/>
        <v>0.009999999999990905</v>
      </c>
      <c r="AC131" s="221">
        <f>144.9*0.8</f>
        <v>115.92000000000002</v>
      </c>
      <c r="AD131" s="411"/>
      <c r="AE131" s="221">
        <f>144.9*0.2</f>
        <v>28.980000000000004</v>
      </c>
      <c r="AF131" s="222"/>
      <c r="AG131" s="223">
        <f t="shared" si="23"/>
        <v>144.90000000000003</v>
      </c>
      <c r="AH131" s="224"/>
    </row>
    <row r="132" spans="1:36" s="407" customFormat="1" ht="12" customHeight="1">
      <c r="A132" s="123">
        <v>9</v>
      </c>
      <c r="B132" s="575" t="s">
        <v>391</v>
      </c>
      <c r="C132" s="575"/>
      <c r="D132" s="575"/>
      <c r="E132" s="575"/>
      <c r="F132" s="575"/>
      <c r="G132" s="575"/>
      <c r="H132" s="575"/>
      <c r="I132" s="575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437"/>
      <c r="U132" s="433">
        <f>SUM(U133:U140)</f>
        <v>28229.5225</v>
      </c>
      <c r="V132" s="437"/>
      <c r="W132" s="433">
        <f>SUM(W133:W140)</f>
        <v>7912.245</v>
      </c>
      <c r="X132" s="434">
        <f>U132+W132</f>
        <v>36141.7675</v>
      </c>
      <c r="Y132" s="454"/>
      <c r="Z132" s="454"/>
      <c r="AA132" s="454"/>
      <c r="AB132" s="408"/>
      <c r="AC132" s="207" t="s">
        <v>395</v>
      </c>
      <c r="AD132" s="115"/>
      <c r="AE132" s="207" t="s">
        <v>396</v>
      </c>
      <c r="AF132" s="114"/>
      <c r="AG132" s="205" t="s">
        <v>486</v>
      </c>
      <c r="AH132" s="209" t="s">
        <v>492</v>
      </c>
      <c r="AI132" s="415"/>
      <c r="AJ132" s="415"/>
    </row>
    <row r="133" spans="1:36" s="406" customFormat="1" ht="12.75">
      <c r="A133" s="106" t="s">
        <v>312</v>
      </c>
      <c r="B133" s="107" t="s">
        <v>134</v>
      </c>
      <c r="C133" s="568" t="s">
        <v>133</v>
      </c>
      <c r="D133" s="568"/>
      <c r="E133" s="568"/>
      <c r="F133" s="568"/>
      <c r="G133" s="568"/>
      <c r="H133" s="568"/>
      <c r="I133" s="568"/>
      <c r="J133" s="109">
        <v>125.15</v>
      </c>
      <c r="K133" s="76" t="s">
        <v>65</v>
      </c>
      <c r="L133" s="70"/>
      <c r="M133" s="70"/>
      <c r="N133" s="70"/>
      <c r="O133" s="70"/>
      <c r="P133" s="70"/>
      <c r="Q133" s="70"/>
      <c r="R133" s="70"/>
      <c r="S133" s="70"/>
      <c r="T133" s="435">
        <v>173.9343188174191</v>
      </c>
      <c r="U133" s="435">
        <f aca="true" t="shared" si="29" ref="U133:U140">J133*T133</f>
        <v>21767.88</v>
      </c>
      <c r="V133" s="435">
        <v>29.986496204554534</v>
      </c>
      <c r="W133" s="435">
        <f aca="true" t="shared" si="30" ref="W133:W140">(V133*J133)</f>
        <v>3752.81</v>
      </c>
      <c r="X133" s="436">
        <f>ROUND(U133+W133,2)</f>
        <v>25520.69</v>
      </c>
      <c r="Y133" s="455">
        <v>25520.69</v>
      </c>
      <c r="Z133" s="455">
        <v>0</v>
      </c>
      <c r="AA133" s="64">
        <f>IF((Y133=Z133),0,(Y133-Z133))</f>
        <v>25520.69</v>
      </c>
      <c r="AB133" s="64" t="str">
        <f>IF((X133=AA133),"OK",(X133-AA133))</f>
        <v>OK</v>
      </c>
      <c r="AC133" s="70">
        <f>178.62+0.1</f>
        <v>178.72</v>
      </c>
      <c r="AD133" s="63"/>
      <c r="AE133" s="70">
        <v>30.81</v>
      </c>
      <c r="AF133" s="79"/>
      <c r="AG133" s="206">
        <f t="shared" si="23"/>
        <v>209.53</v>
      </c>
      <c r="AH133" s="211">
        <v>209.53</v>
      </c>
      <c r="AI133" s="416"/>
      <c r="AJ133" s="416"/>
    </row>
    <row r="134" spans="1:36" s="410" customFormat="1" ht="12.75">
      <c r="A134" s="117" t="s">
        <v>313</v>
      </c>
      <c r="B134" s="118"/>
      <c r="C134" s="688" t="s">
        <v>254</v>
      </c>
      <c r="D134" s="689"/>
      <c r="E134" s="689"/>
      <c r="F134" s="689"/>
      <c r="G134" s="689"/>
      <c r="H134" s="689"/>
      <c r="I134" s="690"/>
      <c r="J134" s="119"/>
      <c r="K134" s="120"/>
      <c r="L134" s="121"/>
      <c r="M134" s="121"/>
      <c r="N134" s="121"/>
      <c r="O134" s="121"/>
      <c r="P134" s="121"/>
      <c r="Q134" s="121"/>
      <c r="R134" s="121"/>
      <c r="S134" s="121"/>
      <c r="T134" s="438"/>
      <c r="U134" s="435">
        <f t="shared" si="29"/>
        <v>0</v>
      </c>
      <c r="V134" s="438"/>
      <c r="W134" s="435">
        <f t="shared" si="30"/>
        <v>0</v>
      </c>
      <c r="X134" s="444">
        <f>W134+U134</f>
        <v>0</v>
      </c>
      <c r="Y134" s="458"/>
      <c r="Z134" s="458"/>
      <c r="AA134" s="458"/>
      <c r="AB134" s="409"/>
      <c r="AC134" s="121"/>
      <c r="AD134" s="409"/>
      <c r="AE134" s="121"/>
      <c r="AF134" s="116"/>
      <c r="AG134" s="206">
        <f t="shared" si="23"/>
        <v>0</v>
      </c>
      <c r="AH134" s="212"/>
      <c r="AI134" s="417"/>
      <c r="AJ134" s="417"/>
    </row>
    <row r="135" spans="1:36" s="406" customFormat="1" ht="12.75">
      <c r="A135" s="106" t="s">
        <v>385</v>
      </c>
      <c r="B135" s="107" t="s">
        <v>550</v>
      </c>
      <c r="C135" s="569" t="s">
        <v>551</v>
      </c>
      <c r="D135" s="566"/>
      <c r="E135" s="566"/>
      <c r="F135" s="566"/>
      <c r="G135" s="566"/>
      <c r="H135" s="566"/>
      <c r="I135" s="567"/>
      <c r="J135" s="76">
        <v>114</v>
      </c>
      <c r="K135" s="76" t="s">
        <v>63</v>
      </c>
      <c r="L135" s="107"/>
      <c r="M135" s="107"/>
      <c r="N135" s="107"/>
      <c r="O135" s="107"/>
      <c r="P135" s="107"/>
      <c r="Q135" s="107"/>
      <c r="R135" s="107"/>
      <c r="S135" s="107"/>
      <c r="T135" s="435">
        <v>46.1981578947368</v>
      </c>
      <c r="U135" s="435">
        <f t="shared" si="29"/>
        <v>5266.589999999996</v>
      </c>
      <c r="V135" s="435">
        <v>26.119298245614033</v>
      </c>
      <c r="W135" s="435">
        <f t="shared" si="30"/>
        <v>2977.6</v>
      </c>
      <c r="X135" s="436">
        <f aca="true" t="shared" si="31" ref="X135:X140">ROUND(U135+W135,2)</f>
        <v>8244.19</v>
      </c>
      <c r="Y135" s="455">
        <v>8244.19</v>
      </c>
      <c r="Z135" s="455">
        <v>0</v>
      </c>
      <c r="AA135" s="64">
        <f aca="true" t="shared" si="32" ref="AA135:AA140">IF((Y135=Z135),0,(Y135-Z135))</f>
        <v>8244.19</v>
      </c>
      <c r="AB135" s="64" t="str">
        <f aca="true" t="shared" si="33" ref="AB135:AB140">IF((X135=AA135),"OK",(X135-AA135))</f>
        <v>OK</v>
      </c>
      <c r="AC135" s="70">
        <f>47.21+0.17+0.09</f>
        <v>47.470000000000006</v>
      </c>
      <c r="AD135" s="63"/>
      <c r="AE135" s="77" t="s">
        <v>552</v>
      </c>
      <c r="AF135" s="79"/>
      <c r="AG135" s="206">
        <f t="shared" si="23"/>
        <v>74.31</v>
      </c>
      <c r="AH135" s="217">
        <v>74.31</v>
      </c>
      <c r="AI135" s="416"/>
      <c r="AJ135" s="416"/>
    </row>
    <row r="136" spans="1:36" s="406" customFormat="1" ht="19.5" customHeight="1">
      <c r="A136" s="106" t="s">
        <v>386</v>
      </c>
      <c r="B136" s="107" t="s">
        <v>259</v>
      </c>
      <c r="C136" s="569" t="s">
        <v>258</v>
      </c>
      <c r="D136" s="566"/>
      <c r="E136" s="566"/>
      <c r="F136" s="566"/>
      <c r="G136" s="566"/>
      <c r="H136" s="566"/>
      <c r="I136" s="567"/>
      <c r="J136" s="76">
        <f>114-85.5</f>
        <v>28.5</v>
      </c>
      <c r="K136" s="76" t="s">
        <v>63</v>
      </c>
      <c r="L136" s="107"/>
      <c r="M136" s="107"/>
      <c r="N136" s="107"/>
      <c r="O136" s="107"/>
      <c r="P136" s="107"/>
      <c r="Q136" s="107"/>
      <c r="R136" s="107"/>
      <c r="S136" s="107"/>
      <c r="T136" s="435">
        <v>21.285350877192982</v>
      </c>
      <c r="U136" s="435">
        <f t="shared" si="29"/>
        <v>606.6325</v>
      </c>
      <c r="V136" s="435">
        <v>10.051403508771928</v>
      </c>
      <c r="W136" s="435">
        <f t="shared" si="30"/>
        <v>286.465</v>
      </c>
      <c r="X136" s="436">
        <f t="shared" si="31"/>
        <v>893.1</v>
      </c>
      <c r="Y136" s="455">
        <v>3572.39</v>
      </c>
      <c r="Z136" s="455">
        <v>2679.29</v>
      </c>
      <c r="AA136" s="64">
        <f t="shared" si="32"/>
        <v>893.0999999999999</v>
      </c>
      <c r="AB136" s="64" t="str">
        <f t="shared" si="33"/>
        <v>OK</v>
      </c>
      <c r="AC136" s="70">
        <f>21.78+0.04+0.05</f>
        <v>21.87</v>
      </c>
      <c r="AD136" s="63"/>
      <c r="AE136" s="77" t="s">
        <v>488</v>
      </c>
      <c r="AF136" s="79"/>
      <c r="AG136" s="206">
        <f t="shared" si="23"/>
        <v>32.2</v>
      </c>
      <c r="AH136" s="211">
        <v>32.2</v>
      </c>
      <c r="AI136" s="416"/>
      <c r="AJ136" s="416"/>
    </row>
    <row r="137" spans="1:36" s="406" customFormat="1" ht="12.75">
      <c r="A137" s="106" t="s">
        <v>387</v>
      </c>
      <c r="B137" s="107" t="s">
        <v>256</v>
      </c>
      <c r="C137" s="565" t="s">
        <v>253</v>
      </c>
      <c r="D137" s="566"/>
      <c r="E137" s="566"/>
      <c r="F137" s="566"/>
      <c r="G137" s="566"/>
      <c r="H137" s="566"/>
      <c r="I137" s="567"/>
      <c r="J137" s="76">
        <v>114</v>
      </c>
      <c r="K137" s="76" t="s">
        <v>63</v>
      </c>
      <c r="L137" s="107"/>
      <c r="M137" s="107"/>
      <c r="N137" s="107"/>
      <c r="O137" s="107"/>
      <c r="P137" s="107"/>
      <c r="Q137" s="107"/>
      <c r="R137" s="107"/>
      <c r="S137" s="107"/>
      <c r="T137" s="435">
        <v>1.0147368421052632</v>
      </c>
      <c r="U137" s="435">
        <f t="shared" si="29"/>
        <v>115.68</v>
      </c>
      <c r="V137" s="435">
        <v>0.671140350877193</v>
      </c>
      <c r="W137" s="435">
        <f t="shared" si="30"/>
        <v>76.51</v>
      </c>
      <c r="X137" s="436">
        <f t="shared" si="31"/>
        <v>192.19</v>
      </c>
      <c r="Y137" s="455">
        <v>192.19</v>
      </c>
      <c r="Z137" s="455">
        <v>0</v>
      </c>
      <c r="AA137" s="64">
        <f t="shared" si="32"/>
        <v>192.19</v>
      </c>
      <c r="AB137" s="64" t="str">
        <f t="shared" si="33"/>
        <v>OK</v>
      </c>
      <c r="AC137" s="77" t="s">
        <v>490</v>
      </c>
      <c r="AD137" s="63"/>
      <c r="AE137" s="77" t="s">
        <v>489</v>
      </c>
      <c r="AF137" s="79"/>
      <c r="AG137" s="206">
        <f t="shared" si="23"/>
        <v>1.73</v>
      </c>
      <c r="AH137" s="211">
        <v>1.73</v>
      </c>
      <c r="AI137" s="416"/>
      <c r="AJ137" s="416"/>
    </row>
    <row r="138" spans="1:36" s="406" customFormat="1" ht="12.75">
      <c r="A138" s="106" t="s">
        <v>388</v>
      </c>
      <c r="B138" s="107" t="s">
        <v>257</v>
      </c>
      <c r="C138" s="565" t="s">
        <v>255</v>
      </c>
      <c r="D138" s="566"/>
      <c r="E138" s="566"/>
      <c r="F138" s="566"/>
      <c r="G138" s="566"/>
      <c r="H138" s="566"/>
      <c r="I138" s="567"/>
      <c r="J138" s="76">
        <v>114</v>
      </c>
      <c r="K138" s="76" t="s">
        <v>63</v>
      </c>
      <c r="L138" s="107"/>
      <c r="M138" s="107"/>
      <c r="N138" s="107"/>
      <c r="O138" s="107"/>
      <c r="P138" s="107"/>
      <c r="Q138" s="107"/>
      <c r="R138" s="107"/>
      <c r="S138" s="107"/>
      <c r="T138" s="435">
        <v>4.146842105263158</v>
      </c>
      <c r="U138" s="435">
        <f t="shared" si="29"/>
        <v>472.73999999999995</v>
      </c>
      <c r="V138" s="435">
        <v>7.182982456140351</v>
      </c>
      <c r="W138" s="435">
        <f t="shared" si="30"/>
        <v>818.86</v>
      </c>
      <c r="X138" s="436">
        <f t="shared" si="31"/>
        <v>1291.6</v>
      </c>
      <c r="Y138" s="455">
        <v>1291.6</v>
      </c>
      <c r="Z138" s="455">
        <v>0</v>
      </c>
      <c r="AA138" s="64">
        <f t="shared" si="32"/>
        <v>1291.6</v>
      </c>
      <c r="AB138" s="64" t="str">
        <f t="shared" si="33"/>
        <v>OK</v>
      </c>
      <c r="AC138" s="70">
        <f>4.25+0.01</f>
        <v>4.26</v>
      </c>
      <c r="AD138" s="63"/>
      <c r="AE138" s="77" t="s">
        <v>491</v>
      </c>
      <c r="AF138" s="79"/>
      <c r="AG138" s="206">
        <f t="shared" si="23"/>
        <v>11.64</v>
      </c>
      <c r="AH138" s="211">
        <v>11.64</v>
      </c>
      <c r="AI138" s="416"/>
      <c r="AJ138" s="416"/>
    </row>
    <row r="139" spans="1:36" s="406" customFormat="1" ht="27" customHeight="1">
      <c r="A139" s="106" t="s">
        <v>553</v>
      </c>
      <c r="B139" s="107" t="s">
        <v>554</v>
      </c>
      <c r="C139" s="569" t="s">
        <v>555</v>
      </c>
      <c r="D139" s="570"/>
      <c r="E139" s="570"/>
      <c r="F139" s="570"/>
      <c r="G139" s="570"/>
      <c r="H139" s="570"/>
      <c r="I139" s="571"/>
      <c r="J139" s="76">
        <v>0</v>
      </c>
      <c r="K139" s="76" t="s">
        <v>63</v>
      </c>
      <c r="L139" s="107"/>
      <c r="M139" s="107"/>
      <c r="N139" s="107"/>
      <c r="O139" s="107"/>
      <c r="P139" s="107"/>
      <c r="Q139" s="107"/>
      <c r="R139" s="107"/>
      <c r="S139" s="107"/>
      <c r="T139" s="435">
        <v>27.877156943303202</v>
      </c>
      <c r="U139" s="435">
        <f t="shared" si="29"/>
        <v>0</v>
      </c>
      <c r="V139" s="435">
        <v>35.71528348397699</v>
      </c>
      <c r="W139" s="435">
        <f t="shared" si="30"/>
        <v>0</v>
      </c>
      <c r="X139" s="436">
        <f t="shared" si="31"/>
        <v>0</v>
      </c>
      <c r="Y139" s="455">
        <v>1547.84</v>
      </c>
      <c r="Z139" s="455">
        <v>1547.84</v>
      </c>
      <c r="AA139" s="64">
        <f t="shared" si="32"/>
        <v>0</v>
      </c>
      <c r="AB139" s="64" t="str">
        <f t="shared" si="33"/>
        <v>OK</v>
      </c>
      <c r="AC139" s="70">
        <f>28.52+0.12</f>
        <v>28.64</v>
      </c>
      <c r="AD139" s="63"/>
      <c r="AE139" s="77" t="s">
        <v>556</v>
      </c>
      <c r="AF139" s="79"/>
      <c r="AG139" s="206">
        <f t="shared" si="23"/>
        <v>65.34</v>
      </c>
      <c r="AH139" s="211">
        <v>65.34</v>
      </c>
      <c r="AI139" s="416"/>
      <c r="AJ139" s="416"/>
    </row>
    <row r="140" spans="1:36" s="406" customFormat="1" ht="27" customHeight="1">
      <c r="A140" s="106" t="s">
        <v>558</v>
      </c>
      <c r="B140" s="107" t="s">
        <v>559</v>
      </c>
      <c r="C140" s="569" t="s">
        <v>560</v>
      </c>
      <c r="D140" s="570"/>
      <c r="E140" s="570"/>
      <c r="F140" s="570"/>
      <c r="G140" s="570"/>
      <c r="H140" s="570"/>
      <c r="I140" s="571"/>
      <c r="J140" s="76">
        <v>0</v>
      </c>
      <c r="K140" s="76" t="s">
        <v>63</v>
      </c>
      <c r="L140" s="107"/>
      <c r="M140" s="107"/>
      <c r="N140" s="107"/>
      <c r="O140" s="107"/>
      <c r="P140" s="107"/>
      <c r="Q140" s="107"/>
      <c r="R140" s="107"/>
      <c r="S140" s="107"/>
      <c r="T140" s="435">
        <v>13.92645850451931</v>
      </c>
      <c r="U140" s="435">
        <f t="shared" si="29"/>
        <v>0</v>
      </c>
      <c r="V140" s="465">
        <v>10.354971240755956</v>
      </c>
      <c r="W140" s="435">
        <f t="shared" si="30"/>
        <v>0</v>
      </c>
      <c r="X140" s="436">
        <f t="shared" si="31"/>
        <v>0</v>
      </c>
      <c r="Y140" s="455">
        <v>591.02</v>
      </c>
      <c r="Z140" s="455">
        <v>591.02</v>
      </c>
      <c r="AA140" s="64">
        <f t="shared" si="32"/>
        <v>0</v>
      </c>
      <c r="AB140" s="467" t="str">
        <f t="shared" si="33"/>
        <v>OK</v>
      </c>
      <c r="AC140" s="70">
        <f>14.24+0.03+0.04</f>
        <v>14.309999999999999</v>
      </c>
      <c r="AD140" s="63"/>
      <c r="AE140" s="77" t="s">
        <v>561</v>
      </c>
      <c r="AF140" s="79"/>
      <c r="AG140" s="206">
        <f t="shared" si="23"/>
        <v>24.95</v>
      </c>
      <c r="AH140" s="211">
        <v>24.95</v>
      </c>
      <c r="AI140" s="416"/>
      <c r="AJ140" s="416"/>
    </row>
    <row r="141" spans="1:36" s="407" customFormat="1" ht="12.75">
      <c r="A141" s="123">
        <v>10</v>
      </c>
      <c r="B141" s="575" t="s">
        <v>276</v>
      </c>
      <c r="C141" s="575"/>
      <c r="D141" s="575"/>
      <c r="E141" s="575"/>
      <c r="F141" s="575"/>
      <c r="G141" s="575"/>
      <c r="H141" s="575"/>
      <c r="I141" s="575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437"/>
      <c r="U141" s="433">
        <f>SUM(U142:U154)</f>
        <v>6667.680101813336</v>
      </c>
      <c r="V141" s="437"/>
      <c r="W141" s="433">
        <f>SUM(W142:W154)</f>
        <v>1404.00364850568</v>
      </c>
      <c r="X141" s="434">
        <f>U141+W141</f>
        <v>8071.683750319015</v>
      </c>
      <c r="Y141" s="454"/>
      <c r="Z141" s="454"/>
      <c r="AA141" s="454"/>
      <c r="AB141" s="408"/>
      <c r="AC141" s="207" t="s">
        <v>395</v>
      </c>
      <c r="AD141" s="115"/>
      <c r="AE141" s="207" t="s">
        <v>396</v>
      </c>
      <c r="AF141" s="114"/>
      <c r="AG141" s="205" t="s">
        <v>486</v>
      </c>
      <c r="AH141" s="209" t="s">
        <v>492</v>
      </c>
      <c r="AI141" s="418"/>
      <c r="AJ141" s="418"/>
    </row>
    <row r="142" spans="1:34" s="406" customFormat="1" ht="19.5" customHeight="1">
      <c r="A142" s="106" t="s">
        <v>247</v>
      </c>
      <c r="B142" s="107" t="s">
        <v>139</v>
      </c>
      <c r="C142" s="568" t="s">
        <v>136</v>
      </c>
      <c r="D142" s="568"/>
      <c r="E142" s="568"/>
      <c r="F142" s="568"/>
      <c r="G142" s="568"/>
      <c r="H142" s="568"/>
      <c r="I142" s="568"/>
      <c r="J142" s="109">
        <f>55.01-31.1</f>
        <v>23.909999999999997</v>
      </c>
      <c r="K142" s="76" t="s">
        <v>63</v>
      </c>
      <c r="L142" s="70"/>
      <c r="M142" s="70"/>
      <c r="N142" s="70"/>
      <c r="O142" s="70"/>
      <c r="P142" s="70"/>
      <c r="Q142" s="70"/>
      <c r="R142" s="70"/>
      <c r="S142" s="70"/>
      <c r="T142" s="435">
        <v>23.474640974368295</v>
      </c>
      <c r="U142" s="435">
        <f>J142*T142</f>
        <v>561.2786656971458</v>
      </c>
      <c r="V142" s="435">
        <v>8.525359025631705</v>
      </c>
      <c r="W142" s="435">
        <f aca="true" t="shared" si="34" ref="W142:W154">(V142*J142)</f>
        <v>203.84133430285402</v>
      </c>
      <c r="X142" s="436">
        <f>ROUND(U142+W142,2)</f>
        <v>765.12</v>
      </c>
      <c r="Y142" s="455">
        <v>1760.32</v>
      </c>
      <c r="Z142" s="455">
        <v>995.28</v>
      </c>
      <c r="AA142" s="64">
        <f aca="true" t="shared" si="35" ref="AA142:AA154">IF((Y142=Z142),0,(Y142-Z142))</f>
        <v>765.04</v>
      </c>
      <c r="AB142" s="467">
        <f aca="true" t="shared" si="36" ref="AB142:AB154">IF((X142=AA142),"OK",(X142-AA142))</f>
        <v>0.08000000000004093</v>
      </c>
      <c r="AC142" s="70">
        <f>24.11+0.01</f>
        <v>24.12</v>
      </c>
      <c r="AD142" s="63"/>
      <c r="AE142" s="70">
        <v>8.76</v>
      </c>
      <c r="AF142" s="79"/>
      <c r="AG142" s="206">
        <f t="shared" si="23"/>
        <v>32.88</v>
      </c>
      <c r="AH142" s="210">
        <v>32.88</v>
      </c>
    </row>
    <row r="143" spans="1:34" s="419" customFormat="1" ht="30" customHeight="1">
      <c r="A143" s="106" t="s">
        <v>248</v>
      </c>
      <c r="B143" s="102" t="s">
        <v>138</v>
      </c>
      <c r="C143" s="580" t="s">
        <v>137</v>
      </c>
      <c r="D143" s="580"/>
      <c r="E143" s="580"/>
      <c r="F143" s="580"/>
      <c r="G143" s="580"/>
      <c r="H143" s="580"/>
      <c r="I143" s="580"/>
      <c r="J143" s="109">
        <f>142.22-110.48</f>
        <v>31.739999999999995</v>
      </c>
      <c r="K143" s="81" t="s">
        <v>63</v>
      </c>
      <c r="L143" s="75"/>
      <c r="M143" s="75"/>
      <c r="N143" s="75"/>
      <c r="O143" s="75"/>
      <c r="P143" s="110"/>
      <c r="Q143" s="75"/>
      <c r="R143" s="75"/>
      <c r="S143" s="75"/>
      <c r="T143" s="435">
        <v>36.658135283363805</v>
      </c>
      <c r="U143" s="435">
        <f aca="true" t="shared" si="37" ref="U143:U153">J143*T143</f>
        <v>1163.529213893967</v>
      </c>
      <c r="V143" s="435">
        <v>12.224722261285333</v>
      </c>
      <c r="W143" s="435">
        <f t="shared" si="34"/>
        <v>388.0126845731964</v>
      </c>
      <c r="X143" s="466">
        <f aca="true" t="shared" si="38" ref="X143:X154">ROUND(U143+W143,2)</f>
        <v>1551.54</v>
      </c>
      <c r="Y143" s="455">
        <v>6952.11</v>
      </c>
      <c r="Z143" s="455">
        <v>5400.4</v>
      </c>
      <c r="AA143" s="64">
        <f t="shared" si="35"/>
        <v>1551.71</v>
      </c>
      <c r="AB143" s="467">
        <f t="shared" si="36"/>
        <v>-0.17000000000007276</v>
      </c>
      <c r="AC143" s="75">
        <f>37.64+0.03</f>
        <v>37.67</v>
      </c>
      <c r="AD143" s="64"/>
      <c r="AE143" s="75">
        <v>12.56</v>
      </c>
      <c r="AF143" s="79"/>
      <c r="AG143" s="206">
        <f t="shared" si="23"/>
        <v>50.230000000000004</v>
      </c>
      <c r="AH143" s="210">
        <v>50.23</v>
      </c>
    </row>
    <row r="144" spans="1:34" s="406" customFormat="1" ht="19.5" customHeight="1">
      <c r="A144" s="106" t="s">
        <v>249</v>
      </c>
      <c r="B144" s="107" t="s">
        <v>141</v>
      </c>
      <c r="C144" s="568" t="s">
        <v>140</v>
      </c>
      <c r="D144" s="568"/>
      <c r="E144" s="568"/>
      <c r="F144" s="568"/>
      <c r="G144" s="568"/>
      <c r="H144" s="568"/>
      <c r="I144" s="568"/>
      <c r="J144" s="109">
        <v>0</v>
      </c>
      <c r="K144" s="109" t="s">
        <v>63</v>
      </c>
      <c r="L144" s="71"/>
      <c r="M144" s="71"/>
      <c r="N144" s="71"/>
      <c r="O144" s="71"/>
      <c r="P144" s="71"/>
      <c r="Q144" s="71"/>
      <c r="R144" s="71"/>
      <c r="S144" s="71"/>
      <c r="T144" s="435">
        <v>1.550063282238785</v>
      </c>
      <c r="U144" s="435">
        <f t="shared" si="37"/>
        <v>0</v>
      </c>
      <c r="V144" s="435">
        <v>1.5021094079594994</v>
      </c>
      <c r="W144" s="435">
        <f t="shared" si="34"/>
        <v>0</v>
      </c>
      <c r="X144" s="436">
        <f t="shared" si="38"/>
        <v>0</v>
      </c>
      <c r="Y144" s="455">
        <v>434.08</v>
      </c>
      <c r="Z144" s="455">
        <v>434.08</v>
      </c>
      <c r="AA144" s="64">
        <f t="shared" si="35"/>
        <v>0</v>
      </c>
      <c r="AB144" s="64" t="str">
        <f t="shared" si="36"/>
        <v>OK</v>
      </c>
      <c r="AC144" s="71">
        <v>1.59</v>
      </c>
      <c r="AD144" s="63"/>
      <c r="AE144" s="71">
        <v>1.54</v>
      </c>
      <c r="AF144" s="79"/>
      <c r="AG144" s="206">
        <f t="shared" si="23"/>
        <v>3.13</v>
      </c>
      <c r="AH144" s="210">
        <v>3.13</v>
      </c>
    </row>
    <row r="145" spans="1:34" s="406" customFormat="1" ht="30" customHeight="1">
      <c r="A145" s="106" t="s">
        <v>252</v>
      </c>
      <c r="B145" s="107" t="s">
        <v>143</v>
      </c>
      <c r="C145" s="568" t="s">
        <v>142</v>
      </c>
      <c r="D145" s="568"/>
      <c r="E145" s="568"/>
      <c r="F145" s="568"/>
      <c r="G145" s="568"/>
      <c r="H145" s="568"/>
      <c r="I145" s="568"/>
      <c r="J145" s="109">
        <v>0</v>
      </c>
      <c r="K145" s="76" t="s">
        <v>63</v>
      </c>
      <c r="L145" s="70"/>
      <c r="M145" s="70"/>
      <c r="N145" s="70"/>
      <c r="O145" s="70"/>
      <c r="P145" s="70"/>
      <c r="Q145" s="70"/>
      <c r="R145" s="70"/>
      <c r="S145" s="70"/>
      <c r="T145" s="435">
        <v>14.453944592884262</v>
      </c>
      <c r="U145" s="435">
        <f t="shared" si="37"/>
        <v>0</v>
      </c>
      <c r="V145" s="435">
        <v>12.192378005906342</v>
      </c>
      <c r="W145" s="465">
        <f t="shared" si="34"/>
        <v>0</v>
      </c>
      <c r="X145" s="466">
        <f t="shared" si="38"/>
        <v>0</v>
      </c>
      <c r="Y145" s="455">
        <v>3789.69</v>
      </c>
      <c r="Z145" s="455">
        <v>3789.69</v>
      </c>
      <c r="AA145" s="64">
        <f t="shared" si="35"/>
        <v>0</v>
      </c>
      <c r="AB145" s="64" t="str">
        <f t="shared" si="36"/>
        <v>OK</v>
      </c>
      <c r="AC145" s="70">
        <f>14.77+0.04+0.04</f>
        <v>14.849999999999998</v>
      </c>
      <c r="AD145" s="63"/>
      <c r="AE145" s="70">
        <v>12.53</v>
      </c>
      <c r="AF145" s="79"/>
      <c r="AG145" s="206">
        <f t="shared" si="23"/>
        <v>27.379999999999995</v>
      </c>
      <c r="AH145" s="210">
        <v>27.38</v>
      </c>
    </row>
    <row r="146" spans="1:34" s="406" customFormat="1" ht="19.5" customHeight="1">
      <c r="A146" s="106" t="s">
        <v>260</v>
      </c>
      <c r="B146" s="107" t="s">
        <v>222</v>
      </c>
      <c r="C146" s="568" t="s">
        <v>223</v>
      </c>
      <c r="D146" s="568"/>
      <c r="E146" s="568"/>
      <c r="F146" s="568"/>
      <c r="G146" s="568"/>
      <c r="H146" s="568"/>
      <c r="I146" s="568"/>
      <c r="J146" s="109">
        <v>9.2</v>
      </c>
      <c r="K146" s="76" t="s">
        <v>63</v>
      </c>
      <c r="L146" s="70"/>
      <c r="M146" s="70"/>
      <c r="N146" s="70"/>
      <c r="O146" s="70"/>
      <c r="P146" s="70"/>
      <c r="Q146" s="70"/>
      <c r="R146" s="70"/>
      <c r="S146" s="70"/>
      <c r="T146" s="435">
        <v>71.62282608695652</v>
      </c>
      <c r="U146" s="435">
        <f t="shared" si="37"/>
        <v>658.93</v>
      </c>
      <c r="V146" s="435">
        <v>8.596739130434784</v>
      </c>
      <c r="W146" s="435">
        <f t="shared" si="34"/>
        <v>79.09</v>
      </c>
      <c r="X146" s="436">
        <f t="shared" si="38"/>
        <v>738.02</v>
      </c>
      <c r="Y146" s="455">
        <v>738.02</v>
      </c>
      <c r="Z146" s="455">
        <v>0</v>
      </c>
      <c r="AA146" s="64">
        <f t="shared" si="35"/>
        <v>738.02</v>
      </c>
      <c r="AB146" s="64" t="str">
        <f t="shared" si="36"/>
        <v>OK</v>
      </c>
      <c r="AC146" s="70">
        <f>73.57+0.02</f>
        <v>73.58999999999999</v>
      </c>
      <c r="AD146" s="63"/>
      <c r="AE146" s="70">
        <v>8.83</v>
      </c>
      <c r="AF146" s="79"/>
      <c r="AG146" s="206">
        <f t="shared" si="23"/>
        <v>82.41999999999999</v>
      </c>
      <c r="AH146" s="210">
        <v>82.42</v>
      </c>
    </row>
    <row r="147" spans="1:34" s="406" customFormat="1" ht="30" customHeight="1">
      <c r="A147" s="106" t="s">
        <v>261</v>
      </c>
      <c r="B147" s="107" t="s">
        <v>145</v>
      </c>
      <c r="C147" s="568" t="s">
        <v>144</v>
      </c>
      <c r="D147" s="568"/>
      <c r="E147" s="568"/>
      <c r="F147" s="568"/>
      <c r="G147" s="568"/>
      <c r="H147" s="568"/>
      <c r="I147" s="568"/>
      <c r="J147" s="109">
        <v>0</v>
      </c>
      <c r="K147" s="76" t="s">
        <v>63</v>
      </c>
      <c r="L147" s="70"/>
      <c r="M147" s="70"/>
      <c r="N147" s="70"/>
      <c r="O147" s="70"/>
      <c r="P147" s="70"/>
      <c r="Q147" s="70"/>
      <c r="R147" s="70"/>
      <c r="S147" s="70"/>
      <c r="T147" s="435">
        <v>23.442633928571432</v>
      </c>
      <c r="U147" s="435">
        <f t="shared" si="37"/>
        <v>0</v>
      </c>
      <c r="V147" s="435">
        <v>11.39375</v>
      </c>
      <c r="W147" s="435">
        <f t="shared" si="34"/>
        <v>0</v>
      </c>
      <c r="X147" s="436">
        <f t="shared" si="38"/>
        <v>0</v>
      </c>
      <c r="Y147" s="455">
        <v>1560.67</v>
      </c>
      <c r="Z147" s="455">
        <v>1560.67</v>
      </c>
      <c r="AA147" s="64">
        <f t="shared" si="35"/>
        <v>0</v>
      </c>
      <c r="AB147" s="64" t="str">
        <f t="shared" si="36"/>
        <v>OK</v>
      </c>
      <c r="AC147" s="70">
        <f>24.06+0.02+0.01</f>
        <v>24.09</v>
      </c>
      <c r="AD147" s="63"/>
      <c r="AE147" s="70">
        <v>11.71</v>
      </c>
      <c r="AF147" s="79"/>
      <c r="AG147" s="206">
        <f t="shared" si="23"/>
        <v>35.8</v>
      </c>
      <c r="AH147" s="210">
        <v>35.8</v>
      </c>
    </row>
    <row r="148" spans="1:34" s="406" customFormat="1" ht="15" customHeight="1">
      <c r="A148" s="106" t="s">
        <v>290</v>
      </c>
      <c r="B148" s="107" t="s">
        <v>510</v>
      </c>
      <c r="C148" s="569" t="s">
        <v>511</v>
      </c>
      <c r="D148" s="570"/>
      <c r="E148" s="570"/>
      <c r="F148" s="570"/>
      <c r="G148" s="570"/>
      <c r="H148" s="570"/>
      <c r="I148" s="571"/>
      <c r="J148" s="109">
        <v>0</v>
      </c>
      <c r="K148" s="76" t="s">
        <v>63</v>
      </c>
      <c r="L148" s="70"/>
      <c r="M148" s="70"/>
      <c r="N148" s="70"/>
      <c r="O148" s="70"/>
      <c r="P148" s="70"/>
      <c r="Q148" s="70"/>
      <c r="R148" s="70"/>
      <c r="S148" s="70"/>
      <c r="T148" s="465">
        <v>1.244047619047619</v>
      </c>
      <c r="U148" s="435">
        <f t="shared" si="37"/>
        <v>0</v>
      </c>
      <c r="V148" s="465">
        <v>4.464285714285714</v>
      </c>
      <c r="W148" s="435">
        <f t="shared" si="34"/>
        <v>0</v>
      </c>
      <c r="X148" s="466">
        <f t="shared" si="38"/>
        <v>0</v>
      </c>
      <c r="Y148" s="455">
        <v>9.6</v>
      </c>
      <c r="Z148" s="455">
        <v>9.6</v>
      </c>
      <c r="AA148" s="64">
        <f t="shared" si="35"/>
        <v>0</v>
      </c>
      <c r="AB148" s="64" t="str">
        <f t="shared" si="36"/>
        <v>OK</v>
      </c>
      <c r="AC148" s="70">
        <v>1.28</v>
      </c>
      <c r="AD148" s="63"/>
      <c r="AE148" s="70">
        <v>4.59</v>
      </c>
      <c r="AF148" s="79"/>
      <c r="AG148" s="206">
        <f t="shared" si="23"/>
        <v>5.87</v>
      </c>
      <c r="AH148" s="210">
        <v>5.87</v>
      </c>
    </row>
    <row r="149" spans="1:34" s="406" customFormat="1" ht="15" customHeight="1">
      <c r="A149" s="106" t="s">
        <v>291</v>
      </c>
      <c r="B149" s="107" t="s">
        <v>512</v>
      </c>
      <c r="C149" s="569" t="s">
        <v>513</v>
      </c>
      <c r="D149" s="570"/>
      <c r="E149" s="570"/>
      <c r="F149" s="570"/>
      <c r="G149" s="570"/>
      <c r="H149" s="570"/>
      <c r="I149" s="571"/>
      <c r="J149" s="109">
        <v>0</v>
      </c>
      <c r="K149" s="76" t="s">
        <v>63</v>
      </c>
      <c r="L149" s="70"/>
      <c r="M149" s="70"/>
      <c r="N149" s="70"/>
      <c r="O149" s="70"/>
      <c r="P149" s="70"/>
      <c r="Q149" s="70"/>
      <c r="R149" s="70"/>
      <c r="S149" s="70"/>
      <c r="T149" s="435">
        <v>4.401818181818182</v>
      </c>
      <c r="U149" s="435">
        <f t="shared" si="37"/>
        <v>0</v>
      </c>
      <c r="V149" s="435">
        <v>12.152727272727274</v>
      </c>
      <c r="W149" s="435">
        <f t="shared" si="34"/>
        <v>0</v>
      </c>
      <c r="X149" s="436">
        <f t="shared" si="38"/>
        <v>0</v>
      </c>
      <c r="Y149" s="455">
        <v>91.05</v>
      </c>
      <c r="Z149" s="455">
        <v>91.05</v>
      </c>
      <c r="AA149" s="64">
        <f t="shared" si="35"/>
        <v>0</v>
      </c>
      <c r="AB149" s="64" t="str">
        <f t="shared" si="36"/>
        <v>OK</v>
      </c>
      <c r="AC149" s="70">
        <f>4.48+0.04</f>
        <v>4.5200000000000005</v>
      </c>
      <c r="AD149" s="63"/>
      <c r="AE149" s="70">
        <v>12.49</v>
      </c>
      <c r="AF149" s="79"/>
      <c r="AG149" s="206">
        <f t="shared" si="23"/>
        <v>17.01</v>
      </c>
      <c r="AH149" s="210">
        <v>17.01</v>
      </c>
    </row>
    <row r="150" spans="1:34" s="406" customFormat="1" ht="18.75" customHeight="1">
      <c r="A150" s="106" t="s">
        <v>524</v>
      </c>
      <c r="B150" s="107" t="s">
        <v>147</v>
      </c>
      <c r="C150" s="568" t="s">
        <v>146</v>
      </c>
      <c r="D150" s="568"/>
      <c r="E150" s="568"/>
      <c r="F150" s="568"/>
      <c r="G150" s="568"/>
      <c r="H150" s="568"/>
      <c r="I150" s="568"/>
      <c r="J150" s="109">
        <v>0</v>
      </c>
      <c r="K150" s="76" t="s">
        <v>65</v>
      </c>
      <c r="L150" s="70"/>
      <c r="M150" s="70"/>
      <c r="N150" s="70"/>
      <c r="O150" s="70"/>
      <c r="P150" s="70"/>
      <c r="Q150" s="70"/>
      <c r="R150" s="70"/>
      <c r="S150" s="70"/>
      <c r="T150" s="435">
        <v>1.5502232142857142</v>
      </c>
      <c r="U150" s="435">
        <f t="shared" si="37"/>
        <v>0</v>
      </c>
      <c r="V150" s="435">
        <v>2.5809151785714284</v>
      </c>
      <c r="W150" s="435">
        <f t="shared" si="34"/>
        <v>0</v>
      </c>
      <c r="X150" s="466">
        <f t="shared" si="38"/>
        <v>0</v>
      </c>
      <c r="Y150" s="455">
        <v>74.02</v>
      </c>
      <c r="Z150" s="455">
        <v>74.02</v>
      </c>
      <c r="AA150" s="64">
        <f t="shared" si="35"/>
        <v>0</v>
      </c>
      <c r="AB150" s="64" t="str">
        <f t="shared" si="36"/>
        <v>OK</v>
      </c>
      <c r="AC150" s="70">
        <v>1.59</v>
      </c>
      <c r="AD150" s="63"/>
      <c r="AE150" s="70">
        <v>2.65</v>
      </c>
      <c r="AF150" s="79"/>
      <c r="AG150" s="206">
        <f t="shared" si="23"/>
        <v>4.24</v>
      </c>
      <c r="AH150" s="210">
        <v>4.24</v>
      </c>
    </row>
    <row r="151" spans="1:34" s="406" customFormat="1" ht="30" customHeight="1">
      <c r="A151" s="106" t="s">
        <v>292</v>
      </c>
      <c r="B151" s="107" t="s">
        <v>148</v>
      </c>
      <c r="C151" s="568" t="s">
        <v>433</v>
      </c>
      <c r="D151" s="568"/>
      <c r="E151" s="568"/>
      <c r="F151" s="568"/>
      <c r="G151" s="568"/>
      <c r="H151" s="568"/>
      <c r="I151" s="568"/>
      <c r="J151" s="109">
        <v>4</v>
      </c>
      <c r="K151" s="76" t="s">
        <v>114</v>
      </c>
      <c r="L151" s="70"/>
      <c r="M151" s="70"/>
      <c r="N151" s="70"/>
      <c r="O151" s="70"/>
      <c r="P151" s="70"/>
      <c r="Q151" s="70"/>
      <c r="R151" s="70"/>
      <c r="S151" s="70"/>
      <c r="T151" s="435">
        <v>430.9875</v>
      </c>
      <c r="U151" s="435">
        <f t="shared" si="37"/>
        <v>1723.95</v>
      </c>
      <c r="V151" s="435">
        <v>113.25</v>
      </c>
      <c r="W151" s="435">
        <f t="shared" si="34"/>
        <v>453</v>
      </c>
      <c r="X151" s="466">
        <f t="shared" si="38"/>
        <v>2176.95</v>
      </c>
      <c r="Y151" s="455">
        <v>2176.96</v>
      </c>
      <c r="Z151" s="455">
        <v>0</v>
      </c>
      <c r="AA151" s="64">
        <f t="shared" si="35"/>
        <v>2176.96</v>
      </c>
      <c r="AB151" s="467">
        <f t="shared" si="36"/>
        <v>-0.010000000000218279</v>
      </c>
      <c r="AC151" s="70">
        <f>442.45+0.39</f>
        <v>442.84</v>
      </c>
      <c r="AD151" s="63"/>
      <c r="AE151" s="70">
        <v>116.36</v>
      </c>
      <c r="AF151" s="79"/>
      <c r="AG151" s="206">
        <f t="shared" si="23"/>
        <v>559.1999999999999</v>
      </c>
      <c r="AH151" s="210">
        <v>559.2</v>
      </c>
    </row>
    <row r="152" spans="1:34" s="406" customFormat="1" ht="12.75">
      <c r="A152" s="106" t="s">
        <v>293</v>
      </c>
      <c r="B152" s="107" t="s">
        <v>150</v>
      </c>
      <c r="C152" s="568" t="s">
        <v>149</v>
      </c>
      <c r="D152" s="568"/>
      <c r="E152" s="568"/>
      <c r="F152" s="568"/>
      <c r="G152" s="568"/>
      <c r="H152" s="568"/>
      <c r="I152" s="568"/>
      <c r="J152" s="109">
        <v>0</v>
      </c>
      <c r="K152" s="76" t="s">
        <v>63</v>
      </c>
      <c r="L152" s="70"/>
      <c r="M152" s="70"/>
      <c r="N152" s="70"/>
      <c r="O152" s="70"/>
      <c r="P152" s="70"/>
      <c r="Q152" s="70"/>
      <c r="R152" s="70"/>
      <c r="S152" s="70"/>
      <c r="T152" s="435">
        <v>741.375992063492</v>
      </c>
      <c r="U152" s="435">
        <f t="shared" si="37"/>
        <v>0</v>
      </c>
      <c r="V152" s="435">
        <v>39.422619047619044</v>
      </c>
      <c r="W152" s="435">
        <f t="shared" si="34"/>
        <v>0</v>
      </c>
      <c r="X152" s="436">
        <f t="shared" si="38"/>
        <v>0</v>
      </c>
      <c r="Y152" s="455">
        <v>7870.45</v>
      </c>
      <c r="Z152" s="455">
        <v>7870.45</v>
      </c>
      <c r="AA152" s="64">
        <f t="shared" si="35"/>
        <v>0</v>
      </c>
      <c r="AB152" s="64" t="str">
        <f t="shared" si="36"/>
        <v>OK</v>
      </c>
      <c r="AC152" s="70">
        <f>761.61+0.15</f>
        <v>761.76</v>
      </c>
      <c r="AD152" s="63"/>
      <c r="AE152" s="70">
        <v>40.51</v>
      </c>
      <c r="AF152" s="79"/>
      <c r="AG152" s="206">
        <f t="shared" si="23"/>
        <v>802.27</v>
      </c>
      <c r="AH152" s="210">
        <v>802.27</v>
      </c>
    </row>
    <row r="153" spans="1:34" s="406" customFormat="1" ht="12.75">
      <c r="A153" s="106" t="s">
        <v>294</v>
      </c>
      <c r="B153" s="107" t="s">
        <v>152</v>
      </c>
      <c r="C153" s="568" t="s">
        <v>151</v>
      </c>
      <c r="D153" s="568"/>
      <c r="E153" s="568"/>
      <c r="F153" s="568"/>
      <c r="G153" s="568"/>
      <c r="H153" s="568"/>
      <c r="I153" s="568"/>
      <c r="J153" s="109">
        <f>2.7-1.7</f>
        <v>1.0000000000000002</v>
      </c>
      <c r="K153" s="76" t="s">
        <v>63</v>
      </c>
      <c r="L153" s="70"/>
      <c r="M153" s="70"/>
      <c r="N153" s="70"/>
      <c r="O153" s="70"/>
      <c r="P153" s="70"/>
      <c r="Q153" s="70"/>
      <c r="R153" s="70"/>
      <c r="S153" s="70"/>
      <c r="T153" s="435">
        <v>353.22222222222223</v>
      </c>
      <c r="U153" s="435">
        <f t="shared" si="37"/>
        <v>353.2222222222223</v>
      </c>
      <c r="V153" s="435">
        <v>84.62962962962962</v>
      </c>
      <c r="W153" s="435">
        <f t="shared" si="34"/>
        <v>84.62962962962963</v>
      </c>
      <c r="X153" s="436">
        <f t="shared" si="38"/>
        <v>437.85</v>
      </c>
      <c r="Y153" s="455">
        <v>1182.2</v>
      </c>
      <c r="Z153" s="455">
        <v>744.31</v>
      </c>
      <c r="AA153" s="64">
        <f t="shared" si="35"/>
        <v>437.8900000000001</v>
      </c>
      <c r="AB153" s="467">
        <f>IF((X153=AA153),"OK",(X153-AA153))</f>
        <v>-0.04000000000007731</v>
      </c>
      <c r="AC153" s="70">
        <f>362.61+0.32</f>
        <v>362.93</v>
      </c>
      <c r="AD153" s="63"/>
      <c r="AE153" s="70">
        <v>86.96</v>
      </c>
      <c r="AF153" s="79"/>
      <c r="AG153" s="206">
        <f t="shared" si="23"/>
        <v>449.89</v>
      </c>
      <c r="AH153" s="210">
        <v>449.89</v>
      </c>
    </row>
    <row r="154" spans="1:34" s="406" customFormat="1" ht="19.5" customHeight="1">
      <c r="A154" s="106" t="s">
        <v>389</v>
      </c>
      <c r="B154" s="107" t="s">
        <v>154</v>
      </c>
      <c r="C154" s="568" t="s">
        <v>153</v>
      </c>
      <c r="D154" s="568"/>
      <c r="E154" s="568"/>
      <c r="F154" s="568"/>
      <c r="G154" s="568"/>
      <c r="H154" s="568"/>
      <c r="I154" s="568"/>
      <c r="J154" s="109">
        <v>6.2</v>
      </c>
      <c r="K154" s="76" t="s">
        <v>63</v>
      </c>
      <c r="L154" s="70"/>
      <c r="M154" s="70"/>
      <c r="N154" s="70"/>
      <c r="O154" s="70"/>
      <c r="P154" s="70"/>
      <c r="Q154" s="70"/>
      <c r="R154" s="70"/>
      <c r="S154" s="70"/>
      <c r="T154" s="435">
        <v>355.93064516129033</v>
      </c>
      <c r="U154" s="435">
        <f>J154*T154</f>
        <v>2206.77</v>
      </c>
      <c r="V154" s="435">
        <v>31.520967741935483</v>
      </c>
      <c r="W154" s="435">
        <f t="shared" si="34"/>
        <v>195.43</v>
      </c>
      <c r="X154" s="436">
        <f t="shared" si="38"/>
        <v>2402.2</v>
      </c>
      <c r="Y154" s="455">
        <v>2402.2</v>
      </c>
      <c r="Z154" s="455">
        <v>0</v>
      </c>
      <c r="AA154" s="64">
        <f t="shared" si="35"/>
        <v>2402.2</v>
      </c>
      <c r="AB154" s="64" t="str">
        <f t="shared" si="36"/>
        <v>OK</v>
      </c>
      <c r="AC154" s="70">
        <f>365.61+0.11</f>
        <v>365.72</v>
      </c>
      <c r="AD154" s="63"/>
      <c r="AE154" s="70">
        <v>32.39</v>
      </c>
      <c r="AF154" s="79"/>
      <c r="AG154" s="206">
        <f t="shared" si="23"/>
        <v>398.11</v>
      </c>
      <c r="AH154" s="210">
        <v>398.11</v>
      </c>
    </row>
    <row r="155" spans="1:34" s="406" customFormat="1" ht="12.75">
      <c r="A155" s="123">
        <v>11</v>
      </c>
      <c r="B155" s="575" t="s">
        <v>299</v>
      </c>
      <c r="C155" s="575"/>
      <c r="D155" s="575"/>
      <c r="E155" s="575"/>
      <c r="F155" s="575"/>
      <c r="G155" s="575"/>
      <c r="H155" s="575"/>
      <c r="I155" s="575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437"/>
      <c r="U155" s="433">
        <f>SUM(U156:U157)</f>
        <v>773.13</v>
      </c>
      <c r="V155" s="437"/>
      <c r="W155" s="433">
        <f>SUM(W156:W157)</f>
        <v>160.5</v>
      </c>
      <c r="X155" s="434">
        <f>SUM(X156:X157)</f>
        <v>933.63</v>
      </c>
      <c r="Y155" s="454"/>
      <c r="Z155" s="454"/>
      <c r="AA155" s="454"/>
      <c r="AB155" s="454"/>
      <c r="AC155" s="207" t="s">
        <v>395</v>
      </c>
      <c r="AD155" s="115"/>
      <c r="AE155" s="207" t="s">
        <v>396</v>
      </c>
      <c r="AF155" s="114"/>
      <c r="AG155" s="205" t="s">
        <v>486</v>
      </c>
      <c r="AH155" s="209" t="s">
        <v>492</v>
      </c>
    </row>
    <row r="156" spans="1:34" s="406" customFormat="1" ht="12.75">
      <c r="A156" s="122" t="s">
        <v>250</v>
      </c>
      <c r="B156" s="107" t="s">
        <v>298</v>
      </c>
      <c r="C156" s="587" t="s">
        <v>297</v>
      </c>
      <c r="D156" s="587"/>
      <c r="E156" s="587"/>
      <c r="F156" s="587"/>
      <c r="G156" s="587"/>
      <c r="H156" s="587"/>
      <c r="I156" s="587"/>
      <c r="J156" s="81">
        <v>1</v>
      </c>
      <c r="K156" s="81" t="s">
        <v>114</v>
      </c>
      <c r="L156" s="81"/>
      <c r="M156" s="81"/>
      <c r="N156" s="81"/>
      <c r="O156" s="81"/>
      <c r="P156" s="81"/>
      <c r="Q156" s="81"/>
      <c r="R156" s="81"/>
      <c r="S156" s="81"/>
      <c r="T156" s="435">
        <v>158.9</v>
      </c>
      <c r="U156" s="435">
        <f>(J156*T156)</f>
        <v>158.9</v>
      </c>
      <c r="V156" s="435">
        <v>6.93</v>
      </c>
      <c r="W156" s="435">
        <f>(V156*J156)</f>
        <v>6.93</v>
      </c>
      <c r="X156" s="466">
        <f>(U156+W156)</f>
        <v>165.83</v>
      </c>
      <c r="Y156" s="455">
        <v>165.82</v>
      </c>
      <c r="Z156" s="455">
        <v>0</v>
      </c>
      <c r="AA156" s="64">
        <f>IF((Y156=Z156),0,(Y156-Z156))</f>
        <v>165.82</v>
      </c>
      <c r="AB156" s="467">
        <f>IF((X156=AA156),"OK",(X156-AA156))</f>
        <v>0.010000000000019327</v>
      </c>
      <c r="AC156" s="110">
        <v>163.27</v>
      </c>
      <c r="AD156" s="110"/>
      <c r="AE156" s="110">
        <v>7.12</v>
      </c>
      <c r="AF156" s="124"/>
      <c r="AG156" s="206">
        <f t="shared" si="23"/>
        <v>170.39000000000001</v>
      </c>
      <c r="AH156" s="210">
        <v>170.39</v>
      </c>
    </row>
    <row r="157" spans="1:34" s="412" customFormat="1" ht="13.5" thickBot="1">
      <c r="A157" s="262" t="s">
        <v>251</v>
      </c>
      <c r="B157" s="237" t="s">
        <v>516</v>
      </c>
      <c r="C157" s="641" t="s">
        <v>517</v>
      </c>
      <c r="D157" s="641"/>
      <c r="E157" s="641"/>
      <c r="F157" s="641"/>
      <c r="G157" s="641"/>
      <c r="H157" s="641"/>
      <c r="I157" s="641"/>
      <c r="J157" s="238">
        <v>5</v>
      </c>
      <c r="K157" s="238" t="s">
        <v>114</v>
      </c>
      <c r="L157" s="238"/>
      <c r="M157" s="238"/>
      <c r="N157" s="238"/>
      <c r="O157" s="238"/>
      <c r="P157" s="238"/>
      <c r="Q157" s="238"/>
      <c r="R157" s="238"/>
      <c r="S157" s="238"/>
      <c r="T157" s="445">
        <v>122.846</v>
      </c>
      <c r="U157" s="445">
        <f>(J157*T157)</f>
        <v>614.23</v>
      </c>
      <c r="V157" s="445">
        <v>30.714</v>
      </c>
      <c r="W157" s="445">
        <f>(V157*J157)</f>
        <v>153.57</v>
      </c>
      <c r="X157" s="446">
        <f>ROUND(U157+W157,2)</f>
        <v>767.8</v>
      </c>
      <c r="Y157" s="455">
        <v>767.8</v>
      </c>
      <c r="Z157" s="455">
        <v>0</v>
      </c>
      <c r="AA157" s="64">
        <f>IF((Y157=Z157),0,(Y157-Z157))</f>
        <v>767.8</v>
      </c>
      <c r="AB157" s="64" t="str">
        <f>IF((X157=AA157),"OK",(X157-AA157))</f>
        <v>OK</v>
      </c>
      <c r="AC157" s="228">
        <f>157.78*0.8</f>
        <v>126.224</v>
      </c>
      <c r="AD157" s="228"/>
      <c r="AE157" s="228">
        <f>157.78*0.2</f>
        <v>31.556</v>
      </c>
      <c r="AF157" s="229"/>
      <c r="AG157" s="223">
        <f t="shared" si="23"/>
        <v>157.78</v>
      </c>
      <c r="AH157" s="224">
        <v>157.78</v>
      </c>
    </row>
    <row r="158" spans="1:36" ht="13.5" thickBot="1">
      <c r="A158" s="263"/>
      <c r="B158" s="264"/>
      <c r="C158" s="82" t="s">
        <v>94</v>
      </c>
      <c r="D158" s="265"/>
      <c r="E158" s="265"/>
      <c r="F158" s="265"/>
      <c r="G158" s="265"/>
      <c r="H158" s="265"/>
      <c r="I158" s="265"/>
      <c r="J158" s="266"/>
      <c r="K158" s="267"/>
      <c r="L158" s="266"/>
      <c r="M158" s="266"/>
      <c r="N158" s="266"/>
      <c r="O158" s="266"/>
      <c r="P158" s="266"/>
      <c r="Q158" s="268"/>
      <c r="R158" s="268"/>
      <c r="S158" s="268"/>
      <c r="T158" s="447"/>
      <c r="U158" s="448">
        <f>U26+U29+U50+U83+U110+U132+U141+U155+U40+U72+U76</f>
        <v>398795.77072693635</v>
      </c>
      <c r="V158" s="448"/>
      <c r="W158" s="448">
        <f>W26+W29+W50+W83+W110+W132+W141+W155+W40+W72+W76</f>
        <v>105041.21133096029</v>
      </c>
      <c r="X158" s="448">
        <f>X26+X29+X50+X83+X110+X132+X141+X155+X40+X72+X76</f>
        <v>503836.98205789656</v>
      </c>
      <c r="Y158" s="459">
        <f>SUM(Y26:Y157)</f>
        <v>593884.3299999996</v>
      </c>
      <c r="Z158" s="459">
        <f>SUM(Z26:Z157)</f>
        <v>106880.56999999999</v>
      </c>
      <c r="AA158" s="459">
        <f>SUM(AA26:AA157)</f>
        <v>487003.75999999995</v>
      </c>
      <c r="AB158" s="459">
        <f>SUM(AB26:AB157)</f>
        <v>16833.21999999999</v>
      </c>
      <c r="AC158" s="63"/>
      <c r="AD158" s="63"/>
      <c r="AE158" s="63"/>
      <c r="AF158" s="405"/>
      <c r="AG158" s="406"/>
      <c r="AH158" s="405"/>
      <c r="AI158" s="406"/>
      <c r="AJ158" s="406"/>
    </row>
    <row r="159" spans="1:36" ht="12.75">
      <c r="A159" s="269"/>
      <c r="B159" s="270"/>
      <c r="C159" s="271"/>
      <c r="D159" s="271"/>
      <c r="E159" s="271"/>
      <c r="F159" s="271"/>
      <c r="G159" s="271"/>
      <c r="H159" s="271"/>
      <c r="I159" s="271"/>
      <c r="J159" s="272"/>
      <c r="K159" s="273"/>
      <c r="L159" s="274"/>
      <c r="M159" s="274"/>
      <c r="N159" s="274"/>
      <c r="O159" s="274"/>
      <c r="P159" s="274"/>
      <c r="Q159" s="275"/>
      <c r="R159" s="276"/>
      <c r="S159" s="276"/>
      <c r="T159" s="271"/>
      <c r="U159" s="271"/>
      <c r="V159" s="271"/>
      <c r="W159" s="271"/>
      <c r="X159" s="277"/>
      <c r="Y159" s="453" t="s">
        <v>574</v>
      </c>
      <c r="Z159" s="453" t="s">
        <v>575</v>
      </c>
      <c r="AA159" s="64" t="s">
        <v>576</v>
      </c>
      <c r="AB159" s="64" t="s">
        <v>577</v>
      </c>
      <c r="AF159" s="405"/>
      <c r="AG159" s="406"/>
      <c r="AH159" s="405"/>
      <c r="AI159" s="406"/>
      <c r="AJ159" s="406"/>
    </row>
    <row r="160" spans="1:36" ht="12.75">
      <c r="A160" s="525" t="s">
        <v>268</v>
      </c>
      <c r="B160" s="526"/>
      <c r="C160" s="526"/>
      <c r="D160" s="526"/>
      <c r="E160" s="526"/>
      <c r="F160" s="526"/>
      <c r="G160" s="530">
        <f>W158</f>
        <v>105041.21133096029</v>
      </c>
      <c r="H160" s="530"/>
      <c r="I160" s="53" t="e">
        <f>Extenso_Valor(G160)</f>
        <v>#NAME?</v>
      </c>
      <c r="J160" s="279"/>
      <c r="K160" s="280"/>
      <c r="L160" s="281"/>
      <c r="M160" s="281"/>
      <c r="N160" s="281"/>
      <c r="O160" s="281"/>
      <c r="P160" s="281"/>
      <c r="Q160" s="282"/>
      <c r="R160" s="283"/>
      <c r="S160" s="283"/>
      <c r="T160" s="284"/>
      <c r="U160" s="284"/>
      <c r="V160" s="2"/>
      <c r="W160" s="2"/>
      <c r="X160" s="285"/>
      <c r="Y160" s="2"/>
      <c r="Z160" s="2"/>
      <c r="AA160" s="2"/>
      <c r="AB160" s="388"/>
      <c r="AC160" s="388"/>
      <c r="AD160" s="388"/>
      <c r="AE160" s="388"/>
      <c r="AF160" s="406"/>
      <c r="AG160" s="406"/>
      <c r="AH160" s="405"/>
      <c r="AI160" s="406"/>
      <c r="AJ160" s="406"/>
    </row>
    <row r="161" spans="1:36" ht="12.75">
      <c r="A161" s="525" t="s">
        <v>269</v>
      </c>
      <c r="B161" s="526"/>
      <c r="C161" s="526"/>
      <c r="D161" s="526"/>
      <c r="E161" s="526"/>
      <c r="F161" s="526"/>
      <c r="G161" s="530">
        <f>U158</f>
        <v>398795.77072693635</v>
      </c>
      <c r="H161" s="530"/>
      <c r="I161" s="53" t="e">
        <f>Extenso_Valor(G161)</f>
        <v>#NAME?</v>
      </c>
      <c r="J161" s="279"/>
      <c r="K161" s="280"/>
      <c r="L161" s="281"/>
      <c r="M161" s="281"/>
      <c r="N161" s="281"/>
      <c r="O161" s="281"/>
      <c r="P161" s="281"/>
      <c r="Q161" s="282"/>
      <c r="R161" s="283"/>
      <c r="S161" s="283"/>
      <c r="T161" s="284"/>
      <c r="U161" s="284"/>
      <c r="V161" s="2"/>
      <c r="W161" s="2"/>
      <c r="X161" s="285"/>
      <c r="Y161" s="2"/>
      <c r="Z161" s="2"/>
      <c r="AA161" s="2"/>
      <c r="AB161" s="388"/>
      <c r="AC161" s="388"/>
      <c r="AD161" s="388"/>
      <c r="AE161" s="388"/>
      <c r="AF161" s="406"/>
      <c r="AG161" s="406"/>
      <c r="AH161" s="405"/>
      <c r="AI161" s="406"/>
      <c r="AJ161" s="406"/>
    </row>
    <row r="162" spans="1:36" ht="13.5" thickBot="1">
      <c r="A162" s="527" t="s">
        <v>270</v>
      </c>
      <c r="B162" s="528"/>
      <c r="C162" s="528"/>
      <c r="D162" s="528"/>
      <c r="E162" s="528"/>
      <c r="F162" s="528"/>
      <c r="G162" s="529">
        <f>X158</f>
        <v>503836.98205789656</v>
      </c>
      <c r="H162" s="529"/>
      <c r="I162" s="128" t="e">
        <f>Extenso_Valor(G162)</f>
        <v>#NAME?</v>
      </c>
      <c r="J162" s="286"/>
      <c r="K162" s="287"/>
      <c r="L162" s="288"/>
      <c r="M162" s="288"/>
      <c r="N162" s="288"/>
      <c r="O162" s="288"/>
      <c r="P162" s="288"/>
      <c r="Q162" s="289"/>
      <c r="R162" s="290"/>
      <c r="S162" s="290"/>
      <c r="T162" s="291"/>
      <c r="U162" s="291"/>
      <c r="V162" s="17"/>
      <c r="W162" s="17"/>
      <c r="X162" s="292"/>
      <c r="Y162" s="2"/>
      <c r="Z162" s="2"/>
      <c r="AA162" s="2"/>
      <c r="AB162" s="388"/>
      <c r="AC162" s="420"/>
      <c r="AD162" s="388"/>
      <c r="AE162" s="388"/>
      <c r="AF162" s="406"/>
      <c r="AG162" s="406"/>
      <c r="AH162" s="405"/>
      <c r="AI162" s="406"/>
      <c r="AJ162" s="406"/>
    </row>
    <row r="163" spans="1:36" ht="12.75">
      <c r="A163" s="45"/>
      <c r="B163" s="45"/>
      <c r="C163" s="7"/>
      <c r="D163" s="7"/>
      <c r="E163" s="7"/>
      <c r="F163" s="7"/>
      <c r="G163" s="7"/>
      <c r="H163" s="7"/>
      <c r="I163" s="7"/>
      <c r="J163" s="10"/>
      <c r="K163" s="11"/>
      <c r="L163" s="31"/>
      <c r="M163" s="31"/>
      <c r="N163" s="31"/>
      <c r="O163" s="31"/>
      <c r="P163" s="31"/>
      <c r="Q163" s="32"/>
      <c r="R163" s="34"/>
      <c r="S163" s="34"/>
      <c r="T163" s="7"/>
      <c r="U163" s="3"/>
      <c r="V163" s="3"/>
      <c r="W163" s="3"/>
      <c r="X163" s="3"/>
      <c r="Y163" s="3"/>
      <c r="Z163" s="3"/>
      <c r="AA163" s="3"/>
      <c r="AB163" s="7"/>
      <c r="AC163" s="388"/>
      <c r="AD163" s="388"/>
      <c r="AE163" s="388"/>
      <c r="AF163" s="406"/>
      <c r="AG163" s="406"/>
      <c r="AH163" s="405"/>
      <c r="AI163" s="406"/>
      <c r="AJ163" s="406"/>
    </row>
    <row r="164" spans="1:36" ht="12.75">
      <c r="A164" s="45"/>
      <c r="B164" s="45"/>
      <c r="C164" s="7"/>
      <c r="D164" s="7"/>
      <c r="E164" s="7"/>
      <c r="F164" s="7"/>
      <c r="G164" s="7"/>
      <c r="H164" s="7"/>
      <c r="I164" s="7"/>
      <c r="J164" s="10"/>
      <c r="K164" s="11"/>
      <c r="L164" s="31"/>
      <c r="M164" s="31"/>
      <c r="N164" s="31"/>
      <c r="O164" s="31"/>
      <c r="P164" s="31"/>
      <c r="Q164" s="32"/>
      <c r="R164" s="34"/>
      <c r="S164" s="34"/>
      <c r="T164" s="7"/>
      <c r="U164" s="3"/>
      <c r="V164" s="3"/>
      <c r="W164" s="3"/>
      <c r="X164" s="3"/>
      <c r="Y164" s="3"/>
      <c r="Z164" s="3"/>
      <c r="AA164" s="3"/>
      <c r="AB164" s="7"/>
      <c r="AC164" s="388"/>
      <c r="AD164" s="388"/>
      <c r="AE164" s="388"/>
      <c r="AF164" s="406"/>
      <c r="AG164" s="406"/>
      <c r="AH164" s="405"/>
      <c r="AI164" s="406"/>
      <c r="AJ164" s="406"/>
    </row>
    <row r="165" spans="1:36" ht="12.75">
      <c r="A165" s="45"/>
      <c r="B165" s="45"/>
      <c r="C165" s="7"/>
      <c r="D165" s="7"/>
      <c r="E165" s="7"/>
      <c r="F165" s="7"/>
      <c r="G165" s="7"/>
      <c r="H165" s="7"/>
      <c r="I165" s="7"/>
      <c r="J165" s="10"/>
      <c r="K165" s="11"/>
      <c r="L165" s="31"/>
      <c r="M165" s="31"/>
      <c r="N165" s="31"/>
      <c r="O165" s="31"/>
      <c r="P165" s="31"/>
      <c r="Q165" s="32"/>
      <c r="R165" s="34"/>
      <c r="S165" s="34"/>
      <c r="T165" s="7"/>
      <c r="U165" s="3"/>
      <c r="V165" s="3"/>
      <c r="W165" s="3"/>
      <c r="X165" s="3"/>
      <c r="Y165" s="3"/>
      <c r="Z165" s="3"/>
      <c r="AA165" s="3"/>
      <c r="AB165" s="7"/>
      <c r="AC165" s="388"/>
      <c r="AD165" s="388"/>
      <c r="AE165" s="388"/>
      <c r="AF165" s="406"/>
      <c r="AG165" s="406"/>
      <c r="AH165" s="405"/>
      <c r="AI165" s="406"/>
      <c r="AJ165" s="406"/>
    </row>
    <row r="166" spans="1:36" ht="12.75">
      <c r="A166" s="45"/>
      <c r="B166" s="45"/>
      <c r="C166" s="7"/>
      <c r="D166" s="7"/>
      <c r="E166" s="7"/>
      <c r="F166" s="7"/>
      <c r="G166" s="7"/>
      <c r="H166" s="7"/>
      <c r="I166" s="7"/>
      <c r="J166" s="10"/>
      <c r="K166" s="11"/>
      <c r="L166" s="31"/>
      <c r="M166" s="31"/>
      <c r="N166" s="31"/>
      <c r="O166" s="31"/>
      <c r="P166" s="31"/>
      <c r="Q166" s="32"/>
      <c r="R166" s="34"/>
      <c r="S166" s="34"/>
      <c r="T166" s="7"/>
      <c r="U166" s="3"/>
      <c r="V166" s="3"/>
      <c r="W166" s="3"/>
      <c r="X166" s="3"/>
      <c r="Y166" s="3"/>
      <c r="Z166" s="3"/>
      <c r="AA166" s="3"/>
      <c r="AB166" s="7"/>
      <c r="AC166" s="388"/>
      <c r="AD166" s="388"/>
      <c r="AE166" s="388"/>
      <c r="AF166" s="406"/>
      <c r="AG166" s="406"/>
      <c r="AH166" s="405"/>
      <c r="AI166" s="406"/>
      <c r="AJ166" s="406"/>
    </row>
    <row r="167" spans="1:36" ht="13.5" thickBot="1">
      <c r="A167" s="45"/>
      <c r="B167" s="45"/>
      <c r="C167" s="7"/>
      <c r="D167" s="7"/>
      <c r="E167" s="7"/>
      <c r="F167" s="7"/>
      <c r="G167" s="7"/>
      <c r="H167" s="7"/>
      <c r="I167" s="7"/>
      <c r="J167" s="10"/>
      <c r="K167" s="11"/>
      <c r="L167" s="31"/>
      <c r="M167" s="31"/>
      <c r="N167" s="31"/>
      <c r="O167" s="31"/>
      <c r="P167" s="31"/>
      <c r="Q167" s="32"/>
      <c r="R167" s="34"/>
      <c r="S167" s="34"/>
      <c r="T167" s="7"/>
      <c r="U167" s="3"/>
      <c r="V167" s="3"/>
      <c r="W167" s="3"/>
      <c r="X167" s="3"/>
      <c r="Y167" s="3"/>
      <c r="Z167" s="3"/>
      <c r="AA167" s="3"/>
      <c r="AB167" s="7"/>
      <c r="AC167" s="388"/>
      <c r="AD167" s="388"/>
      <c r="AE167" s="388"/>
      <c r="AF167" s="406"/>
      <c r="AG167" s="406"/>
      <c r="AH167" s="405"/>
      <c r="AI167" s="406"/>
      <c r="AJ167" s="406"/>
    </row>
    <row r="168" spans="1:36" ht="12.75">
      <c r="A168" s="269"/>
      <c r="B168" s="270"/>
      <c r="C168" s="271"/>
      <c r="D168" s="271"/>
      <c r="E168" s="271"/>
      <c r="F168" s="271"/>
      <c r="G168" s="271"/>
      <c r="H168" s="271"/>
      <c r="I168" s="271"/>
      <c r="J168" s="272"/>
      <c r="K168" s="273"/>
      <c r="L168" s="274"/>
      <c r="M168" s="274"/>
      <c r="N168" s="274"/>
      <c r="O168" s="274"/>
      <c r="P168" s="274"/>
      <c r="Q168" s="275"/>
      <c r="R168" s="276"/>
      <c r="S168" s="276"/>
      <c r="T168" s="271"/>
      <c r="U168" s="293"/>
      <c r="V168" s="293"/>
      <c r="W168" s="293"/>
      <c r="X168" s="294"/>
      <c r="Y168" s="3"/>
      <c r="Z168" s="3"/>
      <c r="AA168" s="3"/>
      <c r="AB168" s="7"/>
      <c r="AC168" s="388"/>
      <c r="AD168" s="388"/>
      <c r="AE168" s="388"/>
      <c r="AF168" s="406"/>
      <c r="AG168" s="406"/>
      <c r="AH168" s="405"/>
      <c r="AI168" s="406"/>
      <c r="AJ168" s="406"/>
    </row>
    <row r="169" spans="1:36" ht="12.75">
      <c r="A169" s="541" t="s">
        <v>457</v>
      </c>
      <c r="B169" s="542"/>
      <c r="C169" s="542"/>
      <c r="D169" s="542"/>
      <c r="E169" s="542"/>
      <c r="F169" s="542"/>
      <c r="G169" s="542"/>
      <c r="H169" s="542"/>
      <c r="I169" s="542"/>
      <c r="J169" s="542"/>
      <c r="K169" s="542"/>
      <c r="L169" s="542"/>
      <c r="M169" s="542"/>
      <c r="N169" s="542"/>
      <c r="O169" s="542"/>
      <c r="P169" s="542"/>
      <c r="Q169" s="542"/>
      <c r="R169" s="542"/>
      <c r="S169" s="542"/>
      <c r="T169" s="542"/>
      <c r="U169" s="542"/>
      <c r="V169" s="542"/>
      <c r="W169" s="542"/>
      <c r="X169" s="543"/>
      <c r="Y169" s="398"/>
      <c r="Z169" s="398"/>
      <c r="AA169" s="398"/>
      <c r="AB169" s="388"/>
      <c r="AC169" s="388"/>
      <c r="AD169" s="388"/>
      <c r="AE169" s="388"/>
      <c r="AF169" s="406"/>
      <c r="AG169" s="406"/>
      <c r="AH169" s="405"/>
      <c r="AI169" s="406"/>
      <c r="AJ169" s="406"/>
    </row>
    <row r="170" spans="1:36" ht="12.75">
      <c r="A170" s="295"/>
      <c r="B170" s="296"/>
      <c r="C170" s="297"/>
      <c r="D170" s="297"/>
      <c r="E170" s="297"/>
      <c r="F170" s="297"/>
      <c r="G170" s="297"/>
      <c r="H170" s="297"/>
      <c r="I170" s="297"/>
      <c r="J170" s="298"/>
      <c r="K170" s="299"/>
      <c r="L170" s="300"/>
      <c r="M170" s="300"/>
      <c r="N170" s="300"/>
      <c r="O170" s="300"/>
      <c r="P170" s="300"/>
      <c r="Q170" s="301"/>
      <c r="R170" s="33"/>
      <c r="S170" s="33"/>
      <c r="T170" s="297"/>
      <c r="U170" s="297"/>
      <c r="V170" s="297"/>
      <c r="W170" s="297"/>
      <c r="X170" s="302"/>
      <c r="Y170" s="297"/>
      <c r="Z170" s="297"/>
      <c r="AA170" s="297"/>
      <c r="AB170" s="388"/>
      <c r="AC170" s="388"/>
      <c r="AD170" s="388"/>
      <c r="AE170" s="388"/>
      <c r="AF170" s="406"/>
      <c r="AG170" s="406"/>
      <c r="AH170" s="405"/>
      <c r="AI170" s="406"/>
      <c r="AJ170" s="406"/>
    </row>
    <row r="171" spans="1:36" ht="12.75">
      <c r="A171" s="581" t="s">
        <v>440</v>
      </c>
      <c r="B171" s="582"/>
      <c r="C171" s="582"/>
      <c r="D171" s="582"/>
      <c r="E171" s="582"/>
      <c r="F171" s="582"/>
      <c r="G171" s="582"/>
      <c r="H171" s="582"/>
      <c r="I171" s="582"/>
      <c r="J171" s="582"/>
      <c r="K171" s="582"/>
      <c r="L171" s="582"/>
      <c r="M171" s="582"/>
      <c r="N171" s="582"/>
      <c r="O171" s="582"/>
      <c r="P171" s="582"/>
      <c r="Q171" s="582"/>
      <c r="R171" s="582"/>
      <c r="S171" s="582"/>
      <c r="T171" s="582"/>
      <c r="U171" s="582"/>
      <c r="V171" s="582"/>
      <c r="W171" s="582"/>
      <c r="X171" s="583"/>
      <c r="Y171" s="396"/>
      <c r="Z171" s="396"/>
      <c r="AA171" s="396"/>
      <c r="AB171" s="388"/>
      <c r="AC171" s="388"/>
      <c r="AD171" s="388"/>
      <c r="AE171" s="388"/>
      <c r="AF171" s="406"/>
      <c r="AG171" s="406"/>
      <c r="AH171" s="405"/>
      <c r="AI171" s="406"/>
      <c r="AJ171" s="406"/>
    </row>
    <row r="172" spans="1:36" ht="12.75">
      <c r="A172" s="295"/>
      <c r="B172" s="296"/>
      <c r="C172" s="297"/>
      <c r="D172" s="297"/>
      <c r="E172" s="297"/>
      <c r="F172" s="297"/>
      <c r="G172" s="297"/>
      <c r="H172" s="297"/>
      <c r="I172" s="297"/>
      <c r="J172" s="298"/>
      <c r="K172" s="299"/>
      <c r="L172" s="300"/>
      <c r="M172" s="300"/>
      <c r="N172" s="300"/>
      <c r="O172" s="300"/>
      <c r="P172" s="300"/>
      <c r="Q172" s="301"/>
      <c r="R172" s="33"/>
      <c r="S172" s="33"/>
      <c r="T172" s="297"/>
      <c r="U172" s="297"/>
      <c r="V172" s="297"/>
      <c r="W172" s="297"/>
      <c r="X172" s="302"/>
      <c r="Y172" s="297"/>
      <c r="Z172" s="297"/>
      <c r="AA172" s="297"/>
      <c r="AB172" s="388"/>
      <c r="AC172" s="388"/>
      <c r="AD172" s="388"/>
      <c r="AE172" s="388"/>
      <c r="AF172" s="406"/>
      <c r="AG172" s="406"/>
      <c r="AH172" s="405"/>
      <c r="AI172" s="406"/>
      <c r="AJ172" s="406"/>
    </row>
    <row r="173" spans="1:36" ht="25.5" customHeight="1">
      <c r="A173" s="522" t="s">
        <v>466</v>
      </c>
      <c r="B173" s="523"/>
      <c r="C173" s="523"/>
      <c r="D173" s="523"/>
      <c r="E173" s="523"/>
      <c r="F173" s="523"/>
      <c r="G173" s="523"/>
      <c r="H173" s="523"/>
      <c r="I173" s="523"/>
      <c r="J173" s="523"/>
      <c r="K173" s="523"/>
      <c r="L173" s="523"/>
      <c r="M173" s="523"/>
      <c r="N173" s="523"/>
      <c r="O173" s="523"/>
      <c r="P173" s="523"/>
      <c r="Q173" s="523"/>
      <c r="R173" s="523"/>
      <c r="S173" s="523"/>
      <c r="T173" s="523"/>
      <c r="U173" s="523"/>
      <c r="V173" s="523"/>
      <c r="W173" s="523"/>
      <c r="X173" s="524"/>
      <c r="Y173" s="400"/>
      <c r="Z173" s="400"/>
      <c r="AA173" s="400"/>
      <c r="AB173" s="388"/>
      <c r="AC173" s="388"/>
      <c r="AD173" s="388"/>
      <c r="AE173" s="388"/>
      <c r="AF173" s="406"/>
      <c r="AG173" s="406"/>
      <c r="AH173" s="405"/>
      <c r="AI173" s="406"/>
      <c r="AJ173" s="406"/>
    </row>
    <row r="174" spans="1:36" ht="12.75">
      <c r="A174" s="295"/>
      <c r="B174" s="296"/>
      <c r="C174" s="297"/>
      <c r="D174" s="297"/>
      <c r="E174" s="297"/>
      <c r="F174" s="297"/>
      <c r="G174" s="297"/>
      <c r="H174" s="297"/>
      <c r="I174" s="297"/>
      <c r="J174" s="298"/>
      <c r="K174" s="299"/>
      <c r="L174" s="300"/>
      <c r="M174" s="300"/>
      <c r="N174" s="300"/>
      <c r="O174" s="300"/>
      <c r="P174" s="300"/>
      <c r="Q174" s="301"/>
      <c r="R174" s="33"/>
      <c r="S174" s="33"/>
      <c r="T174" s="297"/>
      <c r="U174" s="297"/>
      <c r="V174" s="297"/>
      <c r="W174" s="297"/>
      <c r="X174" s="302"/>
      <c r="Y174" s="297"/>
      <c r="Z174" s="297"/>
      <c r="AA174" s="297"/>
      <c r="AB174" s="388"/>
      <c r="AC174" s="388"/>
      <c r="AD174" s="388"/>
      <c r="AE174" s="388"/>
      <c r="AF174" s="406"/>
      <c r="AG174" s="406"/>
      <c r="AH174" s="405"/>
      <c r="AI174" s="406"/>
      <c r="AJ174" s="406"/>
    </row>
    <row r="175" spans="1:36" ht="12.75">
      <c r="A175" s="581" t="s">
        <v>441</v>
      </c>
      <c r="B175" s="582"/>
      <c r="C175" s="582"/>
      <c r="D175" s="582"/>
      <c r="E175" s="582"/>
      <c r="F175" s="582"/>
      <c r="G175" s="582"/>
      <c r="H175" s="582"/>
      <c r="I175" s="582"/>
      <c r="J175" s="582"/>
      <c r="K175" s="582"/>
      <c r="L175" s="582"/>
      <c r="M175" s="582"/>
      <c r="N175" s="582"/>
      <c r="O175" s="582"/>
      <c r="P175" s="582"/>
      <c r="Q175" s="582"/>
      <c r="R175" s="582"/>
      <c r="S175" s="582"/>
      <c r="T175" s="582"/>
      <c r="U175" s="582"/>
      <c r="V175" s="582"/>
      <c r="W175" s="582"/>
      <c r="X175" s="583"/>
      <c r="Y175" s="396"/>
      <c r="Z175" s="396"/>
      <c r="AA175" s="396"/>
      <c r="AB175" s="388"/>
      <c r="AC175" s="388"/>
      <c r="AD175" s="388"/>
      <c r="AE175" s="388"/>
      <c r="AF175" s="406"/>
      <c r="AG175" s="406"/>
      <c r="AH175" s="405"/>
      <c r="AI175" s="406"/>
      <c r="AJ175" s="406"/>
    </row>
    <row r="176" spans="1:36" ht="12.75">
      <c r="A176" s="395"/>
      <c r="B176" s="396"/>
      <c r="C176" s="396"/>
      <c r="D176" s="396"/>
      <c r="E176" s="396"/>
      <c r="F176" s="396"/>
      <c r="G176" s="396"/>
      <c r="H176" s="396"/>
      <c r="I176" s="396"/>
      <c r="J176" s="396"/>
      <c r="K176" s="396"/>
      <c r="L176" s="396"/>
      <c r="M176" s="396"/>
      <c r="N176" s="396"/>
      <c r="O176" s="396"/>
      <c r="P176" s="396"/>
      <c r="Q176" s="396"/>
      <c r="R176" s="396"/>
      <c r="S176" s="396"/>
      <c r="T176" s="396"/>
      <c r="U176" s="396"/>
      <c r="V176" s="396"/>
      <c r="W176" s="396"/>
      <c r="X176" s="397"/>
      <c r="Y176" s="396"/>
      <c r="Z176" s="396"/>
      <c r="AA176" s="396"/>
      <c r="AB176" s="388"/>
      <c r="AC176" s="388"/>
      <c r="AD176" s="388"/>
      <c r="AE176" s="388"/>
      <c r="AF176" s="406"/>
      <c r="AG176" s="406"/>
      <c r="AH176" s="405"/>
      <c r="AI176" s="406"/>
      <c r="AJ176" s="406"/>
    </row>
    <row r="177" spans="1:36" ht="12.75">
      <c r="A177" s="395"/>
      <c r="B177" s="396"/>
      <c r="C177" s="396"/>
      <c r="D177" s="396"/>
      <c r="E177" s="396"/>
      <c r="F177" s="396"/>
      <c r="G177" s="396"/>
      <c r="H177" s="396"/>
      <c r="I177" s="396"/>
      <c r="J177" s="396"/>
      <c r="K177" s="396"/>
      <c r="L177" s="396"/>
      <c r="M177" s="396"/>
      <c r="N177" s="396"/>
      <c r="O177" s="396"/>
      <c r="P177" s="396"/>
      <c r="Q177" s="396"/>
      <c r="R177" s="396"/>
      <c r="S177" s="396"/>
      <c r="T177" s="396"/>
      <c r="U177" s="396"/>
      <c r="V177" s="396"/>
      <c r="W177" s="396"/>
      <c r="X177" s="397"/>
      <c r="Y177" s="396"/>
      <c r="Z177" s="396"/>
      <c r="AA177" s="396"/>
      <c r="AB177" s="388"/>
      <c r="AC177" s="388"/>
      <c r="AD177" s="388"/>
      <c r="AE177" s="388"/>
      <c r="AF177" s="406"/>
      <c r="AG177" s="406"/>
      <c r="AH177" s="405"/>
      <c r="AI177" s="406"/>
      <c r="AJ177" s="406"/>
    </row>
    <row r="178" spans="1:36" ht="12.75">
      <c r="A178" s="395"/>
      <c r="B178" s="396"/>
      <c r="C178" s="396"/>
      <c r="D178" s="396"/>
      <c r="E178" s="396"/>
      <c r="F178" s="396"/>
      <c r="G178" s="396"/>
      <c r="H178" s="396"/>
      <c r="I178" s="396"/>
      <c r="J178" s="396"/>
      <c r="K178" s="396"/>
      <c r="L178" s="396"/>
      <c r="M178" s="396"/>
      <c r="N178" s="396"/>
      <c r="O178" s="396"/>
      <c r="P178" s="396"/>
      <c r="Q178" s="396"/>
      <c r="R178" s="396"/>
      <c r="S178" s="396"/>
      <c r="T178" s="396"/>
      <c r="U178" s="396"/>
      <c r="V178" s="396"/>
      <c r="W178" s="396"/>
      <c r="X178" s="397"/>
      <c r="Y178" s="396"/>
      <c r="Z178" s="396"/>
      <c r="AA178" s="396"/>
      <c r="AB178" s="388"/>
      <c r="AC178" s="388"/>
      <c r="AD178" s="388"/>
      <c r="AE178" s="388"/>
      <c r="AF178" s="406"/>
      <c r="AG178" s="406"/>
      <c r="AH178" s="405"/>
      <c r="AI178" s="406"/>
      <c r="AJ178" s="406"/>
    </row>
    <row r="179" spans="1:36" ht="12.75">
      <c r="A179" s="46"/>
      <c r="B179" s="45"/>
      <c r="C179" s="7"/>
      <c r="D179" s="7"/>
      <c r="E179" s="7"/>
      <c r="F179" s="7"/>
      <c r="G179" s="7"/>
      <c r="H179" s="7"/>
      <c r="I179" s="7"/>
      <c r="J179" s="10"/>
      <c r="K179" s="11"/>
      <c r="L179" s="31"/>
      <c r="M179" s="31"/>
      <c r="N179" s="31"/>
      <c r="O179" s="31"/>
      <c r="P179" s="31"/>
      <c r="Q179" s="32"/>
      <c r="R179" s="34"/>
      <c r="S179" s="34"/>
      <c r="T179" s="7"/>
      <c r="U179" s="3"/>
      <c r="V179" s="3"/>
      <c r="W179" s="3"/>
      <c r="X179" s="303"/>
      <c r="Y179" s="3"/>
      <c r="Z179" s="3"/>
      <c r="AA179" s="3"/>
      <c r="AB179" s="388"/>
      <c r="AC179" s="388"/>
      <c r="AD179" s="388"/>
      <c r="AE179" s="388"/>
      <c r="AF179" s="406"/>
      <c r="AG179" s="406"/>
      <c r="AH179" s="405"/>
      <c r="AI179" s="406"/>
      <c r="AJ179" s="406"/>
    </row>
    <row r="180" spans="1:36" ht="12.75">
      <c r="A180" s="46"/>
      <c r="B180" s="45"/>
      <c r="C180" s="7"/>
      <c r="D180" s="7"/>
      <c r="E180" s="7"/>
      <c r="F180" s="7"/>
      <c r="G180" s="297" t="s">
        <v>464</v>
      </c>
      <c r="H180" s="7"/>
      <c r="I180" s="7"/>
      <c r="J180" s="10"/>
      <c r="K180" s="11"/>
      <c r="L180" s="31"/>
      <c r="M180" s="31"/>
      <c r="N180" s="31"/>
      <c r="O180" s="31"/>
      <c r="P180" s="31"/>
      <c r="Q180" s="32"/>
      <c r="R180" s="34"/>
      <c r="S180" s="34"/>
      <c r="T180" s="7"/>
      <c r="U180" s="3"/>
      <c r="V180" s="3"/>
      <c r="W180" s="3"/>
      <c r="X180" s="303"/>
      <c r="Y180" s="3"/>
      <c r="Z180" s="3"/>
      <c r="AA180" s="3"/>
      <c r="AB180" s="388"/>
      <c r="AC180" s="388"/>
      <c r="AD180" s="388"/>
      <c r="AE180" s="388"/>
      <c r="AF180" s="406"/>
      <c r="AG180" s="406"/>
      <c r="AH180" s="405"/>
      <c r="AI180" s="406"/>
      <c r="AJ180" s="406"/>
    </row>
    <row r="181" spans="1:36" ht="12.75">
      <c r="A181" s="547" t="s">
        <v>459</v>
      </c>
      <c r="B181" s="548"/>
      <c r="C181" s="548"/>
      <c r="D181" s="548"/>
      <c r="E181" s="548"/>
      <c r="F181" s="548"/>
      <c r="G181" s="548"/>
      <c r="H181" s="548"/>
      <c r="I181" s="548"/>
      <c r="J181" s="548"/>
      <c r="K181" s="548"/>
      <c r="L181" s="548"/>
      <c r="M181" s="548"/>
      <c r="N181" s="548"/>
      <c r="O181" s="548"/>
      <c r="P181" s="548"/>
      <c r="Q181" s="548"/>
      <c r="R181" s="548"/>
      <c r="S181" s="548"/>
      <c r="T181" s="548"/>
      <c r="U181" s="548"/>
      <c r="V181" s="548"/>
      <c r="W181" s="548"/>
      <c r="X181" s="549"/>
      <c r="Y181" s="394"/>
      <c r="Z181" s="394"/>
      <c r="AA181" s="394"/>
      <c r="AB181" s="388"/>
      <c r="AC181" s="388"/>
      <c r="AD181" s="388"/>
      <c r="AE181" s="388"/>
      <c r="AF181" s="406"/>
      <c r="AG181" s="406"/>
      <c r="AH181" s="405"/>
      <c r="AI181" s="406"/>
      <c r="AJ181" s="406"/>
    </row>
    <row r="182" spans="1:36" ht="12.75">
      <c r="A182" s="547" t="s">
        <v>460</v>
      </c>
      <c r="B182" s="548"/>
      <c r="C182" s="548"/>
      <c r="D182" s="548"/>
      <c r="E182" s="548"/>
      <c r="F182" s="548"/>
      <c r="G182" s="548"/>
      <c r="H182" s="548"/>
      <c r="I182" s="548"/>
      <c r="J182" s="548"/>
      <c r="K182" s="548"/>
      <c r="L182" s="548"/>
      <c r="M182" s="548"/>
      <c r="N182" s="548"/>
      <c r="O182" s="548"/>
      <c r="P182" s="548"/>
      <c r="Q182" s="548"/>
      <c r="R182" s="548"/>
      <c r="S182" s="548"/>
      <c r="T182" s="548"/>
      <c r="U182" s="548"/>
      <c r="V182" s="548"/>
      <c r="W182" s="548"/>
      <c r="X182" s="549"/>
      <c r="Y182" s="394"/>
      <c r="Z182" s="394"/>
      <c r="AA182" s="394"/>
      <c r="AB182" s="388"/>
      <c r="AC182" s="388"/>
      <c r="AD182" s="388"/>
      <c r="AE182" s="388"/>
      <c r="AF182" s="406"/>
      <c r="AG182" s="406"/>
      <c r="AH182" s="405"/>
      <c r="AI182" s="406"/>
      <c r="AJ182" s="406"/>
    </row>
    <row r="183" spans="1:36" ht="12.75">
      <c r="A183" s="547" t="s">
        <v>458</v>
      </c>
      <c r="B183" s="548"/>
      <c r="C183" s="548"/>
      <c r="D183" s="548"/>
      <c r="E183" s="548"/>
      <c r="F183" s="548"/>
      <c r="G183" s="548"/>
      <c r="H183" s="548"/>
      <c r="I183" s="548"/>
      <c r="J183" s="548"/>
      <c r="K183" s="548"/>
      <c r="L183" s="548"/>
      <c r="M183" s="548"/>
      <c r="N183" s="548"/>
      <c r="O183" s="548"/>
      <c r="P183" s="548"/>
      <c r="Q183" s="548"/>
      <c r="R183" s="548"/>
      <c r="S183" s="548"/>
      <c r="T183" s="548"/>
      <c r="U183" s="548"/>
      <c r="V183" s="548"/>
      <c r="W183" s="548"/>
      <c r="X183" s="549"/>
      <c r="Y183" s="394"/>
      <c r="Z183" s="394"/>
      <c r="AA183" s="394"/>
      <c r="AB183" s="388"/>
      <c r="AC183" s="388"/>
      <c r="AD183" s="388"/>
      <c r="AE183" s="388"/>
      <c r="AF183" s="406"/>
      <c r="AG183" s="406"/>
      <c r="AH183" s="405"/>
      <c r="AI183" s="406"/>
      <c r="AJ183" s="406"/>
    </row>
    <row r="184" spans="1:36" ht="12.75">
      <c r="A184" s="519" t="s">
        <v>461</v>
      </c>
      <c r="B184" s="520"/>
      <c r="C184" s="520"/>
      <c r="D184" s="520"/>
      <c r="E184" s="520"/>
      <c r="F184" s="520"/>
      <c r="G184" s="520"/>
      <c r="H184" s="520"/>
      <c r="I184" s="520"/>
      <c r="J184" s="520"/>
      <c r="K184" s="520"/>
      <c r="L184" s="520"/>
      <c r="M184" s="520"/>
      <c r="N184" s="520"/>
      <c r="O184" s="520"/>
      <c r="P184" s="520"/>
      <c r="Q184" s="520"/>
      <c r="R184" s="520"/>
      <c r="S184" s="520"/>
      <c r="T184" s="520"/>
      <c r="U184" s="520"/>
      <c r="V184" s="520"/>
      <c r="W184" s="520"/>
      <c r="X184" s="521"/>
      <c r="Y184" s="399"/>
      <c r="Z184" s="399"/>
      <c r="AA184" s="399"/>
      <c r="AB184" s="388"/>
      <c r="AC184" s="388"/>
      <c r="AD184" s="388"/>
      <c r="AE184" s="388"/>
      <c r="AF184" s="406"/>
      <c r="AG184" s="406"/>
      <c r="AH184" s="405"/>
      <c r="AI184" s="406"/>
      <c r="AJ184" s="406"/>
    </row>
    <row r="185" spans="1:36" ht="12.75">
      <c r="A185" s="519" t="s">
        <v>462</v>
      </c>
      <c r="B185" s="520"/>
      <c r="C185" s="520"/>
      <c r="D185" s="520"/>
      <c r="E185" s="520"/>
      <c r="F185" s="520"/>
      <c r="G185" s="520"/>
      <c r="H185" s="520"/>
      <c r="I185" s="520"/>
      <c r="J185" s="520"/>
      <c r="K185" s="520"/>
      <c r="L185" s="520"/>
      <c r="M185" s="520"/>
      <c r="N185" s="520"/>
      <c r="O185" s="520"/>
      <c r="P185" s="520"/>
      <c r="Q185" s="520"/>
      <c r="R185" s="520"/>
      <c r="S185" s="520"/>
      <c r="T185" s="520"/>
      <c r="U185" s="520"/>
      <c r="V185" s="520"/>
      <c r="W185" s="520"/>
      <c r="X185" s="521"/>
      <c r="Y185" s="399"/>
      <c r="Z185" s="399"/>
      <c r="AA185" s="399"/>
      <c r="AB185" s="388"/>
      <c r="AC185" s="388"/>
      <c r="AD185" s="388"/>
      <c r="AE185" s="388"/>
      <c r="AF185" s="406"/>
      <c r="AG185" s="406"/>
      <c r="AH185" s="405"/>
      <c r="AI185" s="406"/>
      <c r="AJ185" s="406"/>
    </row>
    <row r="186" spans="1:36" ht="12.75">
      <c r="A186" s="519" t="s">
        <v>463</v>
      </c>
      <c r="B186" s="520"/>
      <c r="C186" s="520"/>
      <c r="D186" s="520"/>
      <c r="E186" s="520"/>
      <c r="F186" s="520"/>
      <c r="G186" s="520"/>
      <c r="H186" s="520"/>
      <c r="I186" s="520"/>
      <c r="J186" s="520"/>
      <c r="K186" s="520"/>
      <c r="L186" s="520"/>
      <c r="M186" s="520"/>
      <c r="N186" s="520"/>
      <c r="O186" s="520"/>
      <c r="P186" s="520"/>
      <c r="Q186" s="520"/>
      <c r="R186" s="520"/>
      <c r="S186" s="520"/>
      <c r="T186" s="520"/>
      <c r="U186" s="520"/>
      <c r="V186" s="520"/>
      <c r="W186" s="520"/>
      <c r="X186" s="521"/>
      <c r="Y186" s="399"/>
      <c r="Z186" s="399"/>
      <c r="AA186" s="399"/>
      <c r="AB186" s="388"/>
      <c r="AC186" s="388"/>
      <c r="AD186" s="388"/>
      <c r="AE186" s="388"/>
      <c r="AF186" s="406"/>
      <c r="AG186" s="406"/>
      <c r="AH186" s="405"/>
      <c r="AI186" s="406"/>
      <c r="AJ186" s="406"/>
    </row>
    <row r="187" spans="1:36" ht="13.5" thickBot="1">
      <c r="A187" s="44"/>
      <c r="B187" s="67"/>
      <c r="C187" s="18"/>
      <c r="D187" s="18"/>
      <c r="E187" s="18"/>
      <c r="F187" s="18"/>
      <c r="G187" s="18"/>
      <c r="H187" s="18"/>
      <c r="I187" s="18"/>
      <c r="J187" s="19"/>
      <c r="K187" s="20"/>
      <c r="L187" s="25"/>
      <c r="M187" s="25"/>
      <c r="N187" s="25"/>
      <c r="O187" s="25"/>
      <c r="P187" s="25"/>
      <c r="Q187" s="26"/>
      <c r="R187" s="28"/>
      <c r="S187" s="28"/>
      <c r="T187" s="18"/>
      <c r="U187" s="21"/>
      <c r="V187" s="21"/>
      <c r="W187" s="21"/>
      <c r="X187" s="304"/>
      <c r="Y187" s="3"/>
      <c r="Z187" s="3"/>
      <c r="AA187" s="3"/>
      <c r="AB187" s="388"/>
      <c r="AC187" s="388"/>
      <c r="AD187" s="388"/>
      <c r="AE187" s="388"/>
      <c r="AF187" s="406"/>
      <c r="AG187" s="406"/>
      <c r="AH187" s="405"/>
      <c r="AI187" s="406"/>
      <c r="AJ187" s="406"/>
    </row>
    <row r="188" spans="1:36" ht="13.5" thickBot="1">
      <c r="A188" s="546" t="s">
        <v>90</v>
      </c>
      <c r="B188" s="546"/>
      <c r="C188" s="546"/>
      <c r="D188" s="546"/>
      <c r="E188" s="546"/>
      <c r="F188" s="546"/>
      <c r="G188" s="546"/>
      <c r="H188" s="546"/>
      <c r="I188" s="546"/>
      <c r="J188" s="546"/>
      <c r="K188" s="546"/>
      <c r="L188" s="546"/>
      <c r="M188" s="546"/>
      <c r="N188" s="546"/>
      <c r="O188" s="546"/>
      <c r="P188" s="546"/>
      <c r="Q188" s="546"/>
      <c r="R188" s="546"/>
      <c r="S188" s="546"/>
      <c r="T188" s="546"/>
      <c r="U188" s="546"/>
      <c r="V188" s="546"/>
      <c r="W188" s="546"/>
      <c r="X188" s="546"/>
      <c r="Y188" s="450"/>
      <c r="Z188" s="450"/>
      <c r="AA188" s="450"/>
      <c r="AB188" s="7"/>
      <c r="AC188" s="388"/>
      <c r="AD188" s="388"/>
      <c r="AE188" s="388"/>
      <c r="AF188" s="406"/>
      <c r="AG188" s="406"/>
      <c r="AH188" s="405"/>
      <c r="AI188" s="406"/>
      <c r="AJ188" s="406"/>
    </row>
    <row r="189" spans="1:36" ht="12.75">
      <c r="A189" s="269"/>
      <c r="B189" s="270"/>
      <c r="C189" s="305"/>
      <c r="D189" s="305"/>
      <c r="E189" s="305"/>
      <c r="F189" s="305"/>
      <c r="G189" s="544" t="s">
        <v>0</v>
      </c>
      <c r="H189" s="545"/>
      <c r="I189" s="306" t="s">
        <v>43</v>
      </c>
      <c r="J189" s="307" t="s">
        <v>44</v>
      </c>
      <c r="K189" s="308"/>
      <c r="L189" s="309"/>
      <c r="M189" s="309"/>
      <c r="N189" s="309"/>
      <c r="O189" s="309"/>
      <c r="P189" s="309"/>
      <c r="Q189" s="310"/>
      <c r="R189" s="311"/>
      <c r="S189" s="311"/>
      <c r="T189" s="305"/>
      <c r="U189" s="305"/>
      <c r="V189" s="305"/>
      <c r="W189" s="305"/>
      <c r="X189" s="312"/>
      <c r="Y189" s="297"/>
      <c r="Z189" s="297"/>
      <c r="AA189" s="297"/>
      <c r="AB189" s="388"/>
      <c r="AC189" s="388"/>
      <c r="AD189" s="388"/>
      <c r="AE189" s="388"/>
      <c r="AF189" s="406"/>
      <c r="AG189" s="406"/>
      <c r="AH189" s="405"/>
      <c r="AI189" s="406"/>
      <c r="AJ189" s="406"/>
    </row>
    <row r="190" spans="1:36" ht="12.75" customHeight="1">
      <c r="A190" s="638" t="s">
        <v>79</v>
      </c>
      <c r="B190" s="639"/>
      <c r="C190" s="639"/>
      <c r="D190" s="639"/>
      <c r="E190" s="639"/>
      <c r="F190" s="640"/>
      <c r="G190" s="313" t="s">
        <v>8</v>
      </c>
      <c r="H190" s="314"/>
      <c r="I190" s="315" t="s">
        <v>51</v>
      </c>
      <c r="J190" s="316">
        <v>0.03</v>
      </c>
      <c r="K190" s="2"/>
      <c r="L190" s="2"/>
      <c r="M190" s="2"/>
      <c r="N190" s="2"/>
      <c r="O190" s="2"/>
      <c r="P190" s="2"/>
      <c r="Q190" s="2"/>
      <c r="R190" s="2"/>
      <c r="S190" s="2"/>
      <c r="T190" s="637" t="s">
        <v>85</v>
      </c>
      <c r="U190" s="637"/>
      <c r="V190" s="637"/>
      <c r="W190" s="637"/>
      <c r="X190" s="285"/>
      <c r="Y190" s="2"/>
      <c r="Z190" s="2"/>
      <c r="AA190" s="2"/>
      <c r="AB190" s="388"/>
      <c r="AC190" s="388"/>
      <c r="AD190" s="388"/>
      <c r="AE190" s="388"/>
      <c r="AF190" s="406"/>
      <c r="AG190" s="406"/>
      <c r="AH190" s="405"/>
      <c r="AI190" s="406"/>
      <c r="AJ190" s="406"/>
    </row>
    <row r="191" spans="1:36" ht="12.75">
      <c r="A191" s="638"/>
      <c r="B191" s="639"/>
      <c r="C191" s="639"/>
      <c r="D191" s="639"/>
      <c r="E191" s="639"/>
      <c r="F191" s="640"/>
      <c r="G191" s="317" t="s">
        <v>9</v>
      </c>
      <c r="H191" s="318"/>
      <c r="I191" s="319" t="s">
        <v>52</v>
      </c>
      <c r="J191" s="320">
        <v>0.008</v>
      </c>
      <c r="K191" s="299"/>
      <c r="L191" s="300"/>
      <c r="M191" s="300"/>
      <c r="N191" s="300"/>
      <c r="O191" s="300"/>
      <c r="P191" s="300"/>
      <c r="Q191" s="301"/>
      <c r="R191" s="33"/>
      <c r="S191" s="33"/>
      <c r="T191" s="321"/>
      <c r="U191" s="321"/>
      <c r="V191" s="321"/>
      <c r="W191" s="321"/>
      <c r="X191" s="302"/>
      <c r="Y191" s="297"/>
      <c r="Z191" s="297"/>
      <c r="AA191" s="297"/>
      <c r="AB191" s="388"/>
      <c r="AC191" s="388"/>
      <c r="AD191" s="388"/>
      <c r="AE191" s="388"/>
      <c r="AF191" s="406"/>
      <c r="AG191" s="406"/>
      <c r="AH191" s="405"/>
      <c r="AI191" s="406"/>
      <c r="AJ191" s="406"/>
    </row>
    <row r="192" spans="1:36" ht="14.25" customHeight="1">
      <c r="A192" s="49"/>
      <c r="B192" s="68"/>
      <c r="C192" s="50"/>
      <c r="D192" s="50"/>
      <c r="E192" s="50"/>
      <c r="F192" s="50"/>
      <c r="G192" s="317" t="s">
        <v>10</v>
      </c>
      <c r="H192" s="318"/>
      <c r="I192" s="319" t="s">
        <v>53</v>
      </c>
      <c r="J192" s="320">
        <v>0.0097</v>
      </c>
      <c r="K192" s="299"/>
      <c r="L192" s="300"/>
      <c r="M192" s="300"/>
      <c r="N192" s="300"/>
      <c r="O192" s="300"/>
      <c r="P192" s="300"/>
      <c r="Q192" s="301"/>
      <c r="R192" s="33"/>
      <c r="S192" s="33"/>
      <c r="T192" s="673" t="s">
        <v>392</v>
      </c>
      <c r="U192" s="673"/>
      <c r="V192" s="673"/>
      <c r="W192" s="673"/>
      <c r="X192" s="302"/>
      <c r="Y192" s="297"/>
      <c r="Z192" s="297"/>
      <c r="AA192" s="297"/>
      <c r="AB192" s="388"/>
      <c r="AC192" s="388"/>
      <c r="AD192" s="388"/>
      <c r="AE192" s="388"/>
      <c r="AF192" s="406"/>
      <c r="AG192" s="406"/>
      <c r="AH192" s="405"/>
      <c r="AI192" s="406"/>
      <c r="AJ192" s="406"/>
    </row>
    <row r="193" spans="1:36" ht="14.25" customHeight="1">
      <c r="A193" s="322"/>
      <c r="B193" s="323"/>
      <c r="C193" s="324"/>
      <c r="D193" s="324"/>
      <c r="E193" s="324"/>
      <c r="F193" s="297"/>
      <c r="G193" s="325"/>
      <c r="H193" s="326"/>
      <c r="I193" s="326"/>
      <c r="J193" s="327"/>
      <c r="K193" s="633" t="s">
        <v>84</v>
      </c>
      <c r="L193" s="297"/>
      <c r="M193" s="297"/>
      <c r="N193" s="297"/>
      <c r="O193" s="297"/>
      <c r="P193" s="297"/>
      <c r="Q193" s="297"/>
      <c r="R193" s="297"/>
      <c r="S193" s="297"/>
      <c r="T193" s="674"/>
      <c r="U193" s="674"/>
      <c r="V193" s="674"/>
      <c r="W193" s="674"/>
      <c r="X193" s="672">
        <v>-1</v>
      </c>
      <c r="Y193" s="460"/>
      <c r="Z193" s="460"/>
      <c r="AA193" s="460"/>
      <c r="AB193" s="388"/>
      <c r="AC193" s="388"/>
      <c r="AD193" s="388"/>
      <c r="AE193" s="388"/>
      <c r="AF193" s="406"/>
      <c r="AG193" s="406"/>
      <c r="AH193" s="405"/>
      <c r="AI193" s="406"/>
      <c r="AJ193" s="406"/>
    </row>
    <row r="194" spans="1:36" ht="14.25">
      <c r="A194" s="322"/>
      <c r="B194" s="323"/>
      <c r="C194" s="324"/>
      <c r="D194" s="324"/>
      <c r="E194" s="324"/>
      <c r="F194" s="297"/>
      <c r="G194" s="328" t="s">
        <v>11</v>
      </c>
      <c r="H194" s="329"/>
      <c r="I194" s="330" t="s">
        <v>54</v>
      </c>
      <c r="J194" s="331">
        <v>0.0059</v>
      </c>
      <c r="K194" s="633"/>
      <c r="L194" s="300"/>
      <c r="M194" s="300"/>
      <c r="N194" s="300"/>
      <c r="O194" s="300"/>
      <c r="P194" s="300"/>
      <c r="Q194" s="301"/>
      <c r="R194" s="33"/>
      <c r="S194" s="33"/>
      <c r="T194" s="629" t="s">
        <v>86</v>
      </c>
      <c r="U194" s="629"/>
      <c r="V194" s="629"/>
      <c r="W194" s="629"/>
      <c r="X194" s="672"/>
      <c r="Y194" s="460"/>
      <c r="Z194" s="460"/>
      <c r="AA194" s="460"/>
      <c r="AB194" s="388"/>
      <c r="AC194" s="388"/>
      <c r="AD194" s="388"/>
      <c r="AE194" s="388"/>
      <c r="AF194" s="406"/>
      <c r="AG194" s="406"/>
      <c r="AH194" s="405"/>
      <c r="AI194" s="406"/>
      <c r="AJ194" s="406"/>
    </row>
    <row r="195" spans="1:36" ht="14.25">
      <c r="A195" s="594"/>
      <c r="B195" s="595"/>
      <c r="C195" s="595"/>
      <c r="D195" s="595"/>
      <c r="E195" s="595"/>
      <c r="F195" s="596"/>
      <c r="G195" s="317"/>
      <c r="H195" s="2"/>
      <c r="I195" s="332"/>
      <c r="J195" s="320"/>
      <c r="K195" s="297"/>
      <c r="L195" s="297"/>
      <c r="M195" s="297"/>
      <c r="N195" s="297"/>
      <c r="O195" s="297"/>
      <c r="P195" s="297"/>
      <c r="Q195" s="297"/>
      <c r="R195" s="297"/>
      <c r="S195" s="297"/>
      <c r="T195" s="630"/>
      <c r="U195" s="630"/>
      <c r="V195" s="630"/>
      <c r="W195" s="630"/>
      <c r="X195" s="302"/>
      <c r="Y195" s="297"/>
      <c r="Z195" s="297"/>
      <c r="AA195" s="297"/>
      <c r="AB195" s="388"/>
      <c r="AC195" s="388"/>
      <c r="AD195" s="388"/>
      <c r="AE195" s="388"/>
      <c r="AF195" s="406"/>
      <c r="AG195" s="421">
        <f>1-0.21807</f>
        <v>0.78193</v>
      </c>
      <c r="AH195" s="405"/>
      <c r="AI195" s="406"/>
      <c r="AJ195" s="406"/>
    </row>
    <row r="196" spans="1:36" ht="14.25">
      <c r="A196" s="46"/>
      <c r="B196" s="45"/>
      <c r="C196" s="333" t="s">
        <v>45</v>
      </c>
      <c r="D196" s="324"/>
      <c r="E196" s="324"/>
      <c r="F196" s="2"/>
      <c r="G196" s="328" t="s">
        <v>12</v>
      </c>
      <c r="H196" s="329"/>
      <c r="I196" s="330" t="s">
        <v>55</v>
      </c>
      <c r="J196" s="331">
        <v>0.0616</v>
      </c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334"/>
      <c r="V196" s="2"/>
      <c r="W196" s="2"/>
      <c r="X196" s="285"/>
      <c r="Y196" s="2"/>
      <c r="Z196" s="2"/>
      <c r="AA196" s="2"/>
      <c r="AB196" s="388"/>
      <c r="AC196" s="388"/>
      <c r="AD196" s="388"/>
      <c r="AE196" s="388"/>
      <c r="AF196" s="406"/>
      <c r="AG196" s="406"/>
      <c r="AH196" s="405"/>
      <c r="AI196" s="406"/>
      <c r="AJ196" s="406"/>
    </row>
    <row r="197" spans="1:36" ht="14.25" customHeight="1">
      <c r="A197" s="46"/>
      <c r="B197" s="45"/>
      <c r="C197" s="335" t="s">
        <v>46</v>
      </c>
      <c r="D197" s="324"/>
      <c r="E197" s="324"/>
      <c r="F197" s="297"/>
      <c r="G197" s="336"/>
      <c r="H197" s="7"/>
      <c r="I197" s="7"/>
      <c r="J197" s="337"/>
      <c r="K197" s="299"/>
      <c r="L197" s="300"/>
      <c r="M197" s="300"/>
      <c r="N197" s="300"/>
      <c r="O197" s="300"/>
      <c r="P197" s="300"/>
      <c r="Q197" s="301"/>
      <c r="R197" s="33"/>
      <c r="S197" s="33"/>
      <c r="T197" s="673" t="s">
        <v>393</v>
      </c>
      <c r="U197" s="673"/>
      <c r="V197" s="673"/>
      <c r="W197" s="673"/>
      <c r="X197" s="302"/>
      <c r="Y197" s="297"/>
      <c r="Z197" s="297"/>
      <c r="AA197" s="297"/>
      <c r="AB197" s="388"/>
      <c r="AC197" s="388"/>
      <c r="AD197" s="388"/>
      <c r="AE197" s="388"/>
      <c r="AF197" s="406"/>
      <c r="AG197" s="406"/>
      <c r="AH197" s="405"/>
      <c r="AI197" s="406"/>
      <c r="AJ197" s="406"/>
    </row>
    <row r="198" spans="1:36" ht="14.25">
      <c r="A198" s="46"/>
      <c r="B198" s="45"/>
      <c r="C198" s="335" t="s">
        <v>47</v>
      </c>
      <c r="D198" s="324"/>
      <c r="E198" s="324"/>
      <c r="F198" s="2"/>
      <c r="G198" s="313" t="s">
        <v>80</v>
      </c>
      <c r="H198" s="314"/>
      <c r="I198" s="315" t="s">
        <v>77</v>
      </c>
      <c r="J198" s="316">
        <v>0.0065</v>
      </c>
      <c r="K198" s="633" t="s">
        <v>84</v>
      </c>
      <c r="L198" s="297"/>
      <c r="M198" s="297"/>
      <c r="N198" s="297"/>
      <c r="O198" s="297"/>
      <c r="P198" s="297"/>
      <c r="Q198" s="297"/>
      <c r="R198" s="297"/>
      <c r="S198" s="297"/>
      <c r="T198" s="674"/>
      <c r="U198" s="674"/>
      <c r="V198" s="674"/>
      <c r="W198" s="674"/>
      <c r="X198" s="672">
        <v>-1</v>
      </c>
      <c r="Y198" s="460"/>
      <c r="Z198" s="460"/>
      <c r="AA198" s="460"/>
      <c r="AB198" s="388"/>
      <c r="AC198" s="388"/>
      <c r="AD198" s="388"/>
      <c r="AE198" s="388"/>
      <c r="AF198" s="406"/>
      <c r="AG198" s="422">
        <f>1+J202</f>
        <v>1.2180735177876976</v>
      </c>
      <c r="AH198" s="405"/>
      <c r="AI198" s="406"/>
      <c r="AJ198" s="406"/>
    </row>
    <row r="199" spans="1:36" ht="14.25" customHeight="1">
      <c r="A199" s="46"/>
      <c r="B199" s="45"/>
      <c r="C199" s="335" t="s">
        <v>48</v>
      </c>
      <c r="D199" s="324"/>
      <c r="E199" s="324"/>
      <c r="F199" s="297"/>
      <c r="G199" s="317" t="s">
        <v>81</v>
      </c>
      <c r="H199" s="318"/>
      <c r="I199" s="319" t="s">
        <v>77</v>
      </c>
      <c r="J199" s="320">
        <v>0.03</v>
      </c>
      <c r="K199" s="633"/>
      <c r="L199" s="300"/>
      <c r="M199" s="300"/>
      <c r="N199" s="300"/>
      <c r="O199" s="300"/>
      <c r="P199" s="300"/>
      <c r="Q199" s="301"/>
      <c r="R199" s="33"/>
      <c r="S199" s="33"/>
      <c r="T199" s="629" t="s">
        <v>87</v>
      </c>
      <c r="U199" s="629"/>
      <c r="V199" s="629"/>
      <c r="W199" s="629"/>
      <c r="X199" s="672"/>
      <c r="Y199" s="460"/>
      <c r="Z199" s="460"/>
      <c r="AA199" s="460"/>
      <c r="AB199" s="388"/>
      <c r="AC199" s="388"/>
      <c r="AD199" s="388"/>
      <c r="AE199" s="388"/>
      <c r="AF199" s="406"/>
      <c r="AG199" s="406"/>
      <c r="AH199" s="405"/>
      <c r="AI199" s="406"/>
      <c r="AJ199" s="406"/>
    </row>
    <row r="200" spans="1:36" ht="12.75" customHeight="1">
      <c r="A200" s="46"/>
      <c r="B200" s="45"/>
      <c r="C200" s="335" t="s">
        <v>49</v>
      </c>
      <c r="D200" s="297"/>
      <c r="E200" s="297"/>
      <c r="F200" s="2"/>
      <c r="G200" s="317" t="s">
        <v>82</v>
      </c>
      <c r="H200" s="318"/>
      <c r="I200" s="319" t="s">
        <v>77</v>
      </c>
      <c r="J200" s="320">
        <v>0.02</v>
      </c>
      <c r="K200" s="297"/>
      <c r="L200" s="297"/>
      <c r="M200" s="297"/>
      <c r="N200" s="297"/>
      <c r="O200" s="297"/>
      <c r="P200" s="297"/>
      <c r="Q200" s="297"/>
      <c r="R200" s="297"/>
      <c r="S200" s="297"/>
      <c r="T200" s="630"/>
      <c r="U200" s="630"/>
      <c r="V200" s="630"/>
      <c r="W200" s="630"/>
      <c r="X200" s="302"/>
      <c r="Y200" s="297"/>
      <c r="Z200" s="297"/>
      <c r="AA200" s="297"/>
      <c r="AF200" s="405"/>
      <c r="AG200" s="406"/>
      <c r="AH200" s="405"/>
      <c r="AI200" s="406"/>
      <c r="AJ200" s="406"/>
    </row>
    <row r="201" spans="1:36" ht="12.75">
      <c r="A201" s="46"/>
      <c r="B201" s="45"/>
      <c r="C201" s="335" t="s">
        <v>50</v>
      </c>
      <c r="D201" s="297"/>
      <c r="E201" s="297"/>
      <c r="F201" s="297"/>
      <c r="G201" s="317" t="s">
        <v>83</v>
      </c>
      <c r="H201" s="318"/>
      <c r="I201" s="319" t="s">
        <v>77</v>
      </c>
      <c r="J201" s="338">
        <v>0.025</v>
      </c>
      <c r="K201" s="297"/>
      <c r="L201" s="297"/>
      <c r="M201" s="297"/>
      <c r="N201" s="297"/>
      <c r="O201" s="297"/>
      <c r="P201" s="297"/>
      <c r="Q201" s="297"/>
      <c r="R201" s="297"/>
      <c r="S201" s="297"/>
      <c r="T201" s="298"/>
      <c r="U201" s="298"/>
      <c r="V201" s="298"/>
      <c r="W201" s="298"/>
      <c r="X201" s="302"/>
      <c r="Y201" s="297"/>
      <c r="Z201" s="297"/>
      <c r="AA201" s="297"/>
      <c r="AF201" s="405"/>
      <c r="AG201" s="406"/>
      <c r="AH201" s="405"/>
      <c r="AI201" s="406"/>
      <c r="AJ201" s="406"/>
    </row>
    <row r="202" spans="1:36" ht="12.75">
      <c r="A202" s="46"/>
      <c r="B202" s="45"/>
      <c r="C202" s="335" t="s">
        <v>88</v>
      </c>
      <c r="D202" s="2"/>
      <c r="E202" s="2"/>
      <c r="F202" s="2"/>
      <c r="G202" s="675" t="s">
        <v>91</v>
      </c>
      <c r="H202" s="676"/>
      <c r="I202" s="677"/>
      <c r="J202" s="57">
        <f>(((1+J190+J191+J192)*(1+J194)*(1+J196))/(1-J198-J199-J200-J201))-1</f>
        <v>0.21807351778769757</v>
      </c>
      <c r="K202" s="681"/>
      <c r="L202" s="660"/>
      <c r="M202" s="660"/>
      <c r="N202" s="660"/>
      <c r="O202" s="660"/>
      <c r="P202" s="660"/>
      <c r="Q202" s="660"/>
      <c r="R202" s="660"/>
      <c r="S202" s="660"/>
      <c r="T202" s="660"/>
      <c r="U202" s="660"/>
      <c r="V202" s="660"/>
      <c r="W202" s="660"/>
      <c r="X202" s="285"/>
      <c r="Y202" s="2"/>
      <c r="Z202" s="2"/>
      <c r="AA202" s="2"/>
      <c r="AF202" s="405"/>
      <c r="AG202" s="406"/>
      <c r="AH202" s="405"/>
      <c r="AI202" s="406"/>
      <c r="AJ202" s="406"/>
    </row>
    <row r="203" spans="1:36" ht="13.5" thickBot="1">
      <c r="A203" s="339"/>
      <c r="B203" s="340"/>
      <c r="C203" s="17" t="s">
        <v>89</v>
      </c>
      <c r="D203" s="18"/>
      <c r="E203" s="18"/>
      <c r="F203" s="18"/>
      <c r="G203" s="678" t="s">
        <v>92</v>
      </c>
      <c r="H203" s="679"/>
      <c r="I203" s="680"/>
      <c r="J203" s="56">
        <f>(((1+J190+J191+J192)*(1+J194)*(1+J196))/(1-J198-J199-J200))-1</f>
        <v>0.18579811986009576</v>
      </c>
      <c r="K203" s="631"/>
      <c r="L203" s="632"/>
      <c r="M203" s="632"/>
      <c r="N203" s="632"/>
      <c r="O203" s="632"/>
      <c r="P203" s="632"/>
      <c r="Q203" s="632"/>
      <c r="R203" s="632"/>
      <c r="S203" s="632"/>
      <c r="T203" s="632"/>
      <c r="U203" s="632"/>
      <c r="V203" s="632"/>
      <c r="W203" s="632"/>
      <c r="X203" s="39"/>
      <c r="Y203" s="7"/>
      <c r="Z203" s="7"/>
      <c r="AA203" s="7"/>
      <c r="AF203" s="405"/>
      <c r="AG203" s="406"/>
      <c r="AH203" s="405"/>
      <c r="AI203" s="406"/>
      <c r="AJ203" s="406"/>
    </row>
    <row r="204" spans="1:36" ht="13.5" customHeight="1" thickBot="1">
      <c r="A204" s="578" t="s">
        <v>300</v>
      </c>
      <c r="B204" s="546"/>
      <c r="C204" s="546"/>
      <c r="D204" s="546"/>
      <c r="E204" s="546"/>
      <c r="F204" s="546"/>
      <c r="G204" s="546"/>
      <c r="H204" s="546"/>
      <c r="I204" s="546"/>
      <c r="J204" s="546"/>
      <c r="K204" s="546"/>
      <c r="L204" s="546"/>
      <c r="M204" s="546"/>
      <c r="N204" s="546"/>
      <c r="O204" s="546"/>
      <c r="P204" s="546"/>
      <c r="Q204" s="546"/>
      <c r="R204" s="546"/>
      <c r="S204" s="546"/>
      <c r="T204" s="546"/>
      <c r="U204" s="546"/>
      <c r="V204" s="546"/>
      <c r="W204" s="546"/>
      <c r="X204" s="579"/>
      <c r="Y204" s="450"/>
      <c r="Z204" s="450"/>
      <c r="AA204" s="450"/>
      <c r="AB204" s="54"/>
      <c r="AC204" s="54"/>
      <c r="AD204" s="54"/>
      <c r="AE204" s="54"/>
      <c r="AF204" s="80"/>
      <c r="AG204" s="80"/>
      <c r="AH204" s="80"/>
      <c r="AI204" s="80"/>
      <c r="AJ204" s="406"/>
    </row>
    <row r="205" spans="1:36" ht="10.5" customHeight="1">
      <c r="A205" s="597" t="s">
        <v>60</v>
      </c>
      <c r="B205" s="562" t="s">
        <v>0</v>
      </c>
      <c r="C205" s="563"/>
      <c r="D205" s="563"/>
      <c r="E205" s="563"/>
      <c r="F205" s="563"/>
      <c r="G205" s="564"/>
      <c r="H205" s="597" t="s">
        <v>274</v>
      </c>
      <c r="I205" s="560" t="s">
        <v>68</v>
      </c>
      <c r="J205" s="561"/>
      <c r="K205" s="562" t="s">
        <v>69</v>
      </c>
      <c r="L205" s="563"/>
      <c r="M205" s="563"/>
      <c r="N205" s="563"/>
      <c r="O205" s="563"/>
      <c r="P205" s="563"/>
      <c r="Q205" s="563"/>
      <c r="R205" s="563"/>
      <c r="S205" s="563"/>
      <c r="T205" s="564"/>
      <c r="U205" s="560" t="s">
        <v>70</v>
      </c>
      <c r="V205" s="561"/>
      <c r="W205" s="560" t="s">
        <v>71</v>
      </c>
      <c r="X205" s="561"/>
      <c r="Y205" s="52"/>
      <c r="Z205" s="52"/>
      <c r="AA205" s="52"/>
      <c r="AB205" s="51"/>
      <c r="AC205" s="51"/>
      <c r="AD205" s="51"/>
      <c r="AE205" s="51"/>
      <c r="AF205" s="559"/>
      <c r="AG205" s="559"/>
      <c r="AH205" s="559"/>
      <c r="AI205" s="559"/>
      <c r="AJ205" s="406"/>
    </row>
    <row r="206" spans="1:36" ht="10.5" customHeight="1" thickBot="1">
      <c r="A206" s="598"/>
      <c r="B206" s="589"/>
      <c r="C206" s="590"/>
      <c r="D206" s="590"/>
      <c r="E206" s="590"/>
      <c r="F206" s="590"/>
      <c r="G206" s="591"/>
      <c r="H206" s="598"/>
      <c r="I206" s="85" t="s">
        <v>74</v>
      </c>
      <c r="J206" s="86" t="s">
        <v>75</v>
      </c>
      <c r="K206" s="85" t="s">
        <v>74</v>
      </c>
      <c r="L206" s="48"/>
      <c r="M206" s="48"/>
      <c r="N206" s="48"/>
      <c r="O206" s="48"/>
      <c r="P206" s="48"/>
      <c r="Q206" s="48"/>
      <c r="R206" s="48"/>
      <c r="S206" s="48"/>
      <c r="T206" s="86" t="s">
        <v>75</v>
      </c>
      <c r="U206" s="85" t="s">
        <v>74</v>
      </c>
      <c r="V206" s="86" t="s">
        <v>75</v>
      </c>
      <c r="W206" s="85" t="s">
        <v>74</v>
      </c>
      <c r="X206" s="133" t="s">
        <v>75</v>
      </c>
      <c r="Y206" s="52"/>
      <c r="Z206" s="52"/>
      <c r="AA206" s="52"/>
      <c r="AB206" s="52"/>
      <c r="AC206" s="52"/>
      <c r="AD206" s="52"/>
      <c r="AE206" s="52"/>
      <c r="AF206" s="52"/>
      <c r="AG206" s="52"/>
      <c r="AH206" s="204"/>
      <c r="AI206" s="52"/>
      <c r="AJ206" s="406"/>
    </row>
    <row r="207" spans="1:36" ht="10.5" customHeight="1">
      <c r="A207" s="125" t="s">
        <v>277</v>
      </c>
      <c r="B207" s="599" t="str">
        <f>B26</f>
        <v>SERVIÇOS INICIAIS</v>
      </c>
      <c r="C207" s="600"/>
      <c r="D207" s="600"/>
      <c r="E207" s="600"/>
      <c r="F207" s="600"/>
      <c r="G207" s="601"/>
      <c r="H207" s="341">
        <f>X26</f>
        <v>2319.4970000000003</v>
      </c>
      <c r="I207" s="342">
        <v>1</v>
      </c>
      <c r="J207" s="343">
        <f>I207*H207</f>
        <v>2319.4970000000003</v>
      </c>
      <c r="K207" s="342"/>
      <c r="L207" s="344"/>
      <c r="M207" s="344"/>
      <c r="N207" s="344"/>
      <c r="O207" s="344"/>
      <c r="P207" s="344"/>
      <c r="Q207" s="344"/>
      <c r="R207" s="344"/>
      <c r="S207" s="344"/>
      <c r="T207" s="345">
        <f>K207*H207</f>
        <v>0</v>
      </c>
      <c r="U207" s="342"/>
      <c r="V207" s="345">
        <f>U207*H207</f>
        <v>0</v>
      </c>
      <c r="W207" s="346"/>
      <c r="X207" s="347">
        <f>W207*H207</f>
        <v>0</v>
      </c>
      <c r="Y207" s="461"/>
      <c r="Z207" s="461"/>
      <c r="AA207" s="461"/>
      <c r="AB207" s="423"/>
      <c r="AC207" s="423"/>
      <c r="AD207" s="423"/>
      <c r="AE207" s="423"/>
      <c r="AF207" s="424"/>
      <c r="AG207" s="424"/>
      <c r="AH207" s="425"/>
      <c r="AI207" s="424"/>
      <c r="AJ207" s="406"/>
    </row>
    <row r="208" spans="1:36" ht="12.75">
      <c r="A208" s="126" t="s">
        <v>278</v>
      </c>
      <c r="B208" s="620" t="str">
        <f>B29</f>
        <v>PAVIMENTAÇÃO</v>
      </c>
      <c r="C208" s="621"/>
      <c r="D208" s="621"/>
      <c r="E208" s="621"/>
      <c r="F208" s="621"/>
      <c r="G208" s="622"/>
      <c r="H208" s="348">
        <f>X29</f>
        <v>76803.37951779136</v>
      </c>
      <c r="I208" s="349"/>
      <c r="J208" s="350">
        <f aca="true" t="shared" si="39" ref="J208:J217">I208*H208</f>
        <v>0</v>
      </c>
      <c r="K208" s="349">
        <v>0.75</v>
      </c>
      <c r="L208" s="351"/>
      <c r="M208" s="351"/>
      <c r="N208" s="351"/>
      <c r="O208" s="351"/>
      <c r="P208" s="351"/>
      <c r="Q208" s="351"/>
      <c r="R208" s="351"/>
      <c r="S208" s="351"/>
      <c r="T208" s="352">
        <f aca="true" t="shared" si="40" ref="T208:T217">K208*H208</f>
        <v>57602.53463834352</v>
      </c>
      <c r="U208" s="349">
        <v>0.25</v>
      </c>
      <c r="V208" s="352">
        <f aca="true" t="shared" si="41" ref="V208:V217">U208*H208</f>
        <v>19200.84487944784</v>
      </c>
      <c r="W208" s="353"/>
      <c r="X208" s="354">
        <f aca="true" t="shared" si="42" ref="X208:X217">W208*H208</f>
        <v>0</v>
      </c>
      <c r="Y208" s="461"/>
      <c r="Z208" s="461"/>
      <c r="AA208" s="461"/>
      <c r="AB208" s="423"/>
      <c r="AC208" s="423"/>
      <c r="AD208" s="423"/>
      <c r="AE208" s="423"/>
      <c r="AF208" s="424"/>
      <c r="AG208" s="424"/>
      <c r="AH208" s="425"/>
      <c r="AI208" s="424"/>
      <c r="AJ208" s="406"/>
    </row>
    <row r="209" spans="1:36" ht="12.75">
      <c r="A209" s="126" t="s">
        <v>279</v>
      </c>
      <c r="B209" s="617" t="s">
        <v>115</v>
      </c>
      <c r="C209" s="618"/>
      <c r="D209" s="618"/>
      <c r="E209" s="618"/>
      <c r="F209" s="618"/>
      <c r="G209" s="619"/>
      <c r="H209" s="348">
        <f>X40</f>
        <v>16608.703289786223</v>
      </c>
      <c r="I209" s="349"/>
      <c r="J209" s="350">
        <f t="shared" si="39"/>
        <v>0</v>
      </c>
      <c r="K209" s="349">
        <v>0.75</v>
      </c>
      <c r="L209" s="351"/>
      <c r="M209" s="351"/>
      <c r="N209" s="351"/>
      <c r="O209" s="351"/>
      <c r="P209" s="351"/>
      <c r="Q209" s="351"/>
      <c r="R209" s="351"/>
      <c r="S209" s="351"/>
      <c r="T209" s="352">
        <f t="shared" si="40"/>
        <v>12456.527467339667</v>
      </c>
      <c r="U209" s="349">
        <v>0.25</v>
      </c>
      <c r="V209" s="352">
        <f t="shared" si="41"/>
        <v>4152.175822446556</v>
      </c>
      <c r="W209" s="353"/>
      <c r="X209" s="354">
        <f t="shared" si="42"/>
        <v>0</v>
      </c>
      <c r="Y209" s="461"/>
      <c r="Z209" s="461"/>
      <c r="AA209" s="461"/>
      <c r="AB209" s="423"/>
      <c r="AC209" s="423"/>
      <c r="AD209" s="423"/>
      <c r="AE209" s="423"/>
      <c r="AF209" s="424"/>
      <c r="AG209" s="424"/>
      <c r="AH209" s="425"/>
      <c r="AI209" s="424"/>
      <c r="AJ209" s="406"/>
    </row>
    <row r="210" spans="1:36" ht="10.5" customHeight="1">
      <c r="A210" s="126" t="s">
        <v>280</v>
      </c>
      <c r="B210" s="610" t="str">
        <f>B50</f>
        <v>MODALIDADES ESPORTIVAS</v>
      </c>
      <c r="C210" s="611"/>
      <c r="D210" s="611"/>
      <c r="E210" s="611"/>
      <c r="F210" s="611"/>
      <c r="G210" s="612"/>
      <c r="H210" s="355">
        <f>X50</f>
        <v>279464.66</v>
      </c>
      <c r="I210" s="356"/>
      <c r="J210" s="350">
        <f t="shared" si="39"/>
        <v>0</v>
      </c>
      <c r="K210" s="349"/>
      <c r="L210" s="351"/>
      <c r="M210" s="351"/>
      <c r="N210" s="351"/>
      <c r="O210" s="351"/>
      <c r="P210" s="351"/>
      <c r="Q210" s="351"/>
      <c r="R210" s="351"/>
      <c r="S210" s="351"/>
      <c r="T210" s="352">
        <f t="shared" si="40"/>
        <v>0</v>
      </c>
      <c r="U210" s="349">
        <v>0.5</v>
      </c>
      <c r="V210" s="352">
        <f t="shared" si="41"/>
        <v>139732.33</v>
      </c>
      <c r="W210" s="353">
        <v>0.5</v>
      </c>
      <c r="X210" s="354">
        <f t="shared" si="42"/>
        <v>139732.33</v>
      </c>
      <c r="Y210" s="461"/>
      <c r="Z210" s="461"/>
      <c r="AA210" s="461"/>
      <c r="AB210" s="423"/>
      <c r="AC210" s="426">
        <f>SUM(H207:H217)</f>
        <v>503836.98205789656</v>
      </c>
      <c r="AD210" s="423"/>
      <c r="AE210" s="423"/>
      <c r="AF210" s="424"/>
      <c r="AG210" s="424"/>
      <c r="AH210" s="425"/>
      <c r="AI210" s="424"/>
      <c r="AJ210" s="406"/>
    </row>
    <row r="211" spans="1:36" ht="12.75" customHeight="1">
      <c r="A211" s="126" t="s">
        <v>281</v>
      </c>
      <c r="B211" s="602" t="s">
        <v>390</v>
      </c>
      <c r="C211" s="603"/>
      <c r="D211" s="603"/>
      <c r="E211" s="603"/>
      <c r="F211" s="603"/>
      <c r="G211" s="604"/>
      <c r="H211" s="348">
        <f>X72</f>
        <v>12525.12</v>
      </c>
      <c r="I211" s="349"/>
      <c r="J211" s="350">
        <f t="shared" si="39"/>
        <v>0</v>
      </c>
      <c r="K211" s="349"/>
      <c r="L211" s="351"/>
      <c r="M211" s="351"/>
      <c r="N211" s="351"/>
      <c r="O211" s="351"/>
      <c r="P211" s="351"/>
      <c r="Q211" s="351"/>
      <c r="R211" s="351"/>
      <c r="S211" s="351"/>
      <c r="T211" s="352">
        <f t="shared" si="40"/>
        <v>0</v>
      </c>
      <c r="U211" s="349"/>
      <c r="V211" s="352">
        <f t="shared" si="41"/>
        <v>0</v>
      </c>
      <c r="W211" s="353">
        <v>1</v>
      </c>
      <c r="X211" s="354">
        <f t="shared" si="42"/>
        <v>12525.12</v>
      </c>
      <c r="Y211" s="461"/>
      <c r="Z211" s="461"/>
      <c r="AA211" s="461"/>
      <c r="AB211" s="423"/>
      <c r="AC211" s="423"/>
      <c r="AD211" s="423"/>
      <c r="AE211" s="423"/>
      <c r="AF211" s="424"/>
      <c r="AG211" s="424"/>
      <c r="AH211" s="425"/>
      <c r="AI211" s="424"/>
      <c r="AJ211" s="406"/>
    </row>
    <row r="212" spans="1:36" ht="12.75" customHeight="1">
      <c r="A212" s="126" t="s">
        <v>282</v>
      </c>
      <c r="B212" s="602" t="s">
        <v>315</v>
      </c>
      <c r="C212" s="603"/>
      <c r="D212" s="603"/>
      <c r="E212" s="603"/>
      <c r="F212" s="603"/>
      <c r="G212" s="604"/>
      <c r="H212" s="348">
        <f>X76</f>
        <v>3924.16</v>
      </c>
      <c r="I212" s="349"/>
      <c r="J212" s="350">
        <f t="shared" si="39"/>
        <v>0</v>
      </c>
      <c r="K212" s="349"/>
      <c r="L212" s="351"/>
      <c r="M212" s="351"/>
      <c r="N212" s="351"/>
      <c r="O212" s="351"/>
      <c r="P212" s="351"/>
      <c r="Q212" s="351"/>
      <c r="R212" s="351"/>
      <c r="S212" s="351"/>
      <c r="T212" s="352">
        <f t="shared" si="40"/>
        <v>0</v>
      </c>
      <c r="U212" s="349"/>
      <c r="V212" s="352">
        <f t="shared" si="41"/>
        <v>0</v>
      </c>
      <c r="W212" s="353">
        <v>1</v>
      </c>
      <c r="X212" s="354">
        <f t="shared" si="42"/>
        <v>3924.16</v>
      </c>
      <c r="Y212" s="461"/>
      <c r="Z212" s="461"/>
      <c r="AA212" s="461"/>
      <c r="AB212" s="423"/>
      <c r="AC212" s="423"/>
      <c r="AD212" s="423"/>
      <c r="AE212" s="423"/>
      <c r="AF212" s="424"/>
      <c r="AG212" s="424"/>
      <c r="AH212" s="425"/>
      <c r="AI212" s="424"/>
      <c r="AJ212" s="406"/>
    </row>
    <row r="213" spans="1:36" ht="10.5" customHeight="1">
      <c r="A213" s="126" t="s">
        <v>283</v>
      </c>
      <c r="B213" s="623" t="s">
        <v>130</v>
      </c>
      <c r="C213" s="624"/>
      <c r="D213" s="624"/>
      <c r="E213" s="624"/>
      <c r="F213" s="624"/>
      <c r="G213" s="625"/>
      <c r="H213" s="355">
        <f>X83</f>
        <v>54882.509999999995</v>
      </c>
      <c r="I213" s="349">
        <v>0.5</v>
      </c>
      <c r="J213" s="350">
        <f t="shared" si="39"/>
        <v>27441.254999999997</v>
      </c>
      <c r="K213" s="349">
        <v>0.5</v>
      </c>
      <c r="L213" s="351"/>
      <c r="M213" s="351"/>
      <c r="N213" s="351"/>
      <c r="O213" s="351"/>
      <c r="P213" s="351"/>
      <c r="Q213" s="351"/>
      <c r="R213" s="351"/>
      <c r="S213" s="351"/>
      <c r="T213" s="352">
        <f t="shared" si="40"/>
        <v>27441.254999999997</v>
      </c>
      <c r="U213" s="349"/>
      <c r="V213" s="352">
        <f t="shared" si="41"/>
        <v>0</v>
      </c>
      <c r="W213" s="353"/>
      <c r="X213" s="354">
        <f t="shared" si="42"/>
        <v>0</v>
      </c>
      <c r="Y213" s="461"/>
      <c r="Z213" s="461"/>
      <c r="AA213" s="461"/>
      <c r="AB213" s="423"/>
      <c r="AC213" s="423"/>
      <c r="AD213" s="423"/>
      <c r="AE213" s="423"/>
      <c r="AF213" s="424"/>
      <c r="AG213" s="424"/>
      <c r="AH213" s="425"/>
      <c r="AI213" s="424"/>
      <c r="AJ213" s="406"/>
    </row>
    <row r="214" spans="1:36" ht="10.5" customHeight="1">
      <c r="A214" s="126" t="s">
        <v>284</v>
      </c>
      <c r="B214" s="623" t="s">
        <v>184</v>
      </c>
      <c r="C214" s="624"/>
      <c r="D214" s="624"/>
      <c r="E214" s="624"/>
      <c r="F214" s="624"/>
      <c r="G214" s="625"/>
      <c r="H214" s="355">
        <f>X110</f>
        <v>12161.871</v>
      </c>
      <c r="I214" s="349"/>
      <c r="J214" s="350">
        <f t="shared" si="39"/>
        <v>0</v>
      </c>
      <c r="K214" s="349"/>
      <c r="L214" s="351"/>
      <c r="M214" s="351"/>
      <c r="N214" s="351"/>
      <c r="O214" s="351"/>
      <c r="P214" s="351"/>
      <c r="Q214" s="351"/>
      <c r="R214" s="351"/>
      <c r="S214" s="351"/>
      <c r="T214" s="352">
        <f t="shared" si="40"/>
        <v>0</v>
      </c>
      <c r="U214" s="349"/>
      <c r="V214" s="352">
        <f t="shared" si="41"/>
        <v>0</v>
      </c>
      <c r="W214" s="353">
        <v>1</v>
      </c>
      <c r="X214" s="354">
        <f t="shared" si="42"/>
        <v>12161.871</v>
      </c>
      <c r="Y214" s="461"/>
      <c r="Z214" s="461"/>
      <c r="AA214" s="461"/>
      <c r="AB214" s="423"/>
      <c r="AC214" s="423"/>
      <c r="AD214" s="423"/>
      <c r="AE214" s="423"/>
      <c r="AF214" s="424"/>
      <c r="AG214" s="424"/>
      <c r="AH214" s="425"/>
      <c r="AI214" s="424"/>
      <c r="AJ214" s="406"/>
    </row>
    <row r="215" spans="1:36" ht="10.5" customHeight="1">
      <c r="A215" s="126" t="s">
        <v>285</v>
      </c>
      <c r="B215" s="623" t="s">
        <v>391</v>
      </c>
      <c r="C215" s="624"/>
      <c r="D215" s="624"/>
      <c r="E215" s="624"/>
      <c r="F215" s="624"/>
      <c r="G215" s="625"/>
      <c r="H215" s="355">
        <f>X132</f>
        <v>36141.7675</v>
      </c>
      <c r="I215" s="349"/>
      <c r="J215" s="350">
        <f t="shared" si="39"/>
        <v>0</v>
      </c>
      <c r="K215" s="349">
        <v>0.34</v>
      </c>
      <c r="L215" s="351"/>
      <c r="M215" s="351"/>
      <c r="N215" s="351"/>
      <c r="O215" s="351"/>
      <c r="P215" s="351"/>
      <c r="Q215" s="351"/>
      <c r="R215" s="351"/>
      <c r="S215" s="351"/>
      <c r="T215" s="352">
        <f t="shared" si="40"/>
        <v>12288.200950000002</v>
      </c>
      <c r="U215" s="349">
        <v>0.33</v>
      </c>
      <c r="V215" s="352">
        <f t="shared" si="41"/>
        <v>11926.783275000002</v>
      </c>
      <c r="W215" s="353">
        <v>0.33</v>
      </c>
      <c r="X215" s="354">
        <f t="shared" si="42"/>
        <v>11926.783275000002</v>
      </c>
      <c r="Y215" s="461"/>
      <c r="Z215" s="461"/>
      <c r="AA215" s="461"/>
      <c r="AB215" s="423"/>
      <c r="AC215" s="423"/>
      <c r="AD215" s="423"/>
      <c r="AE215" s="423"/>
      <c r="AF215" s="424"/>
      <c r="AG215" s="424"/>
      <c r="AH215" s="425"/>
      <c r="AI215" s="424"/>
      <c r="AJ215" s="406"/>
    </row>
    <row r="216" spans="1:36" ht="10.5" customHeight="1">
      <c r="A216" s="126" t="s">
        <v>286</v>
      </c>
      <c r="B216" s="130" t="s">
        <v>276</v>
      </c>
      <c r="C216" s="131"/>
      <c r="D216" s="131"/>
      <c r="E216" s="131"/>
      <c r="F216" s="131"/>
      <c r="G216" s="132"/>
      <c r="H216" s="355">
        <f>X141</f>
        <v>8071.683750319015</v>
      </c>
      <c r="I216" s="357"/>
      <c r="J216" s="350">
        <f t="shared" si="39"/>
        <v>0</v>
      </c>
      <c r="K216" s="349"/>
      <c r="L216" s="351"/>
      <c r="M216" s="351"/>
      <c r="N216" s="351"/>
      <c r="O216" s="351"/>
      <c r="P216" s="351"/>
      <c r="Q216" s="351"/>
      <c r="R216" s="351"/>
      <c r="S216" s="351"/>
      <c r="T216" s="352">
        <f t="shared" si="40"/>
        <v>0</v>
      </c>
      <c r="U216" s="357">
        <v>0.3</v>
      </c>
      <c r="V216" s="352">
        <f t="shared" si="41"/>
        <v>2421.5051250957044</v>
      </c>
      <c r="W216" s="358">
        <v>0.7</v>
      </c>
      <c r="X216" s="354">
        <f t="shared" si="42"/>
        <v>5650.1786252233105</v>
      </c>
      <c r="Y216" s="461"/>
      <c r="Z216" s="461"/>
      <c r="AA216" s="461"/>
      <c r="AB216" s="423"/>
      <c r="AC216" s="423"/>
      <c r="AD216" s="423"/>
      <c r="AE216" s="423"/>
      <c r="AF216" s="424"/>
      <c r="AG216" s="424"/>
      <c r="AH216" s="425"/>
      <c r="AI216" s="424"/>
      <c r="AJ216" s="406"/>
    </row>
    <row r="217" spans="1:36" ht="10.5" customHeight="1" thickBot="1">
      <c r="A217" s="127" t="s">
        <v>287</v>
      </c>
      <c r="B217" s="605" t="s">
        <v>299</v>
      </c>
      <c r="C217" s="606"/>
      <c r="D217" s="606"/>
      <c r="E217" s="606"/>
      <c r="F217" s="606"/>
      <c r="G217" s="607"/>
      <c r="H217" s="359">
        <f>X155</f>
        <v>933.63</v>
      </c>
      <c r="I217" s="360"/>
      <c r="J217" s="361">
        <f t="shared" si="39"/>
        <v>0</v>
      </c>
      <c r="K217" s="360"/>
      <c r="L217" s="362"/>
      <c r="M217" s="362"/>
      <c r="N217" s="362"/>
      <c r="O217" s="362"/>
      <c r="P217" s="362"/>
      <c r="Q217" s="362"/>
      <c r="R217" s="362"/>
      <c r="S217" s="362"/>
      <c r="T217" s="363">
        <f t="shared" si="40"/>
        <v>0</v>
      </c>
      <c r="U217" s="360"/>
      <c r="V217" s="363">
        <f t="shared" si="41"/>
        <v>0</v>
      </c>
      <c r="W217" s="364">
        <v>1</v>
      </c>
      <c r="X217" s="365">
        <f t="shared" si="42"/>
        <v>933.63</v>
      </c>
      <c r="Y217" s="461"/>
      <c r="Z217" s="461"/>
      <c r="AA217" s="461"/>
      <c r="AB217" s="423"/>
      <c r="AC217" s="423"/>
      <c r="AD217" s="423"/>
      <c r="AE217" s="423"/>
      <c r="AF217" s="424"/>
      <c r="AG217" s="424"/>
      <c r="AH217" s="425"/>
      <c r="AI217" s="424"/>
      <c r="AJ217" s="406"/>
    </row>
    <row r="218" spans="1:36" ht="10.5" customHeight="1">
      <c r="A218" s="366"/>
      <c r="B218" s="682"/>
      <c r="C218" s="682"/>
      <c r="D218" s="682"/>
      <c r="E218" s="367"/>
      <c r="F218" s="367"/>
      <c r="G218" s="83" t="s">
        <v>76</v>
      </c>
      <c r="H218" s="368">
        <v>1</v>
      </c>
      <c r="I218" s="356"/>
      <c r="J218" s="369"/>
      <c r="K218" s="84"/>
      <c r="L218" s="370"/>
      <c r="M218" s="370"/>
      <c r="N218" s="370"/>
      <c r="O218" s="370"/>
      <c r="P218" s="370"/>
      <c r="Q218" s="370"/>
      <c r="R218" s="370"/>
      <c r="S218" s="371"/>
      <c r="T218" s="369"/>
      <c r="U218" s="84"/>
      <c r="V218" s="369"/>
      <c r="W218" s="84"/>
      <c r="X218" s="369"/>
      <c r="Y218" s="462"/>
      <c r="Z218" s="462"/>
      <c r="AA218" s="462"/>
      <c r="AB218" s="427"/>
      <c r="AC218" s="427"/>
      <c r="AD218" s="427"/>
      <c r="AE218" s="427"/>
      <c r="AF218" s="428"/>
      <c r="AG218" s="427"/>
      <c r="AH218" s="429"/>
      <c r="AI218" s="430"/>
      <c r="AJ218" s="406"/>
    </row>
    <row r="219" spans="1:36" ht="10.5" customHeight="1">
      <c r="A219" s="366"/>
      <c r="B219" s="683"/>
      <c r="C219" s="683"/>
      <c r="D219" s="683"/>
      <c r="E219" s="372"/>
      <c r="F219" s="626" t="s">
        <v>93</v>
      </c>
      <c r="G219" s="627"/>
      <c r="H219" s="373">
        <f>SUM(H207:H217)</f>
        <v>503836.98205789656</v>
      </c>
      <c r="I219" s="592">
        <f>SUM(J207:J217)</f>
        <v>29760.751999999997</v>
      </c>
      <c r="J219" s="593"/>
      <c r="K219" s="592">
        <f>SUM(T207:T217)</f>
        <v>109788.51805568318</v>
      </c>
      <c r="L219" s="616"/>
      <c r="M219" s="616"/>
      <c r="N219" s="616"/>
      <c r="O219" s="616"/>
      <c r="P219" s="616"/>
      <c r="Q219" s="616"/>
      <c r="R219" s="616"/>
      <c r="S219" s="616"/>
      <c r="T219" s="593"/>
      <c r="U219" s="592">
        <f>SUM(V207:V217)</f>
        <v>177433.6391019901</v>
      </c>
      <c r="V219" s="593"/>
      <c r="W219" s="592">
        <f>SUM(X207:X217)</f>
        <v>186854.07290022328</v>
      </c>
      <c r="X219" s="593"/>
      <c r="Y219" s="385"/>
      <c r="Z219" s="385"/>
      <c r="AA219" s="385"/>
      <c r="AB219" s="386"/>
      <c r="AC219" s="386"/>
      <c r="AD219" s="386"/>
      <c r="AE219" s="386"/>
      <c r="AF219" s="671"/>
      <c r="AG219" s="671"/>
      <c r="AH219" s="671"/>
      <c r="AI219" s="671"/>
      <c r="AJ219" s="406"/>
    </row>
    <row r="220" spans="1:36" ht="10.5" customHeight="1" thickBot="1">
      <c r="A220" s="374"/>
      <c r="B220" s="684"/>
      <c r="C220" s="684"/>
      <c r="D220" s="684"/>
      <c r="E220" s="375"/>
      <c r="F220" s="634" t="s">
        <v>67</v>
      </c>
      <c r="G220" s="635"/>
      <c r="H220" s="376">
        <f>SUM(I219+K219+U219+W219)</f>
        <v>503836.98205789656</v>
      </c>
      <c r="I220" s="608">
        <f>SUM(J207:J217)</f>
        <v>29760.751999999997</v>
      </c>
      <c r="J220" s="609"/>
      <c r="K220" s="608">
        <f>K219+I219</f>
        <v>139549.27005568318</v>
      </c>
      <c r="L220" s="628"/>
      <c r="M220" s="628"/>
      <c r="N220" s="628"/>
      <c r="O220" s="628"/>
      <c r="P220" s="628"/>
      <c r="Q220" s="628"/>
      <c r="R220" s="628"/>
      <c r="S220" s="628"/>
      <c r="T220" s="609"/>
      <c r="U220" s="608">
        <f>U219+K219+I219</f>
        <v>316982.90915767325</v>
      </c>
      <c r="V220" s="609"/>
      <c r="W220" s="608">
        <f>W219+U219+K219+I219</f>
        <v>503836.9820578965</v>
      </c>
      <c r="X220" s="609"/>
      <c r="Y220" s="385"/>
      <c r="Z220" s="385"/>
      <c r="AA220" s="385"/>
      <c r="AB220" s="386"/>
      <c r="AC220" s="386"/>
      <c r="AD220" s="386"/>
      <c r="AE220" s="386"/>
      <c r="AF220" s="671"/>
      <c r="AG220" s="671"/>
      <c r="AH220" s="671"/>
      <c r="AI220" s="671"/>
      <c r="AJ220" s="406"/>
    </row>
    <row r="221" spans="1:35" ht="10.5" customHeight="1" thickBot="1">
      <c r="A221" s="87"/>
      <c r="B221" s="87"/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7"/>
      <c r="U221" s="87"/>
      <c r="V221" s="87"/>
      <c r="W221" s="87"/>
      <c r="X221" s="87"/>
      <c r="Y221" s="87"/>
      <c r="Z221" s="87"/>
      <c r="AA221" s="87"/>
      <c r="AB221" s="386"/>
      <c r="AC221" s="386"/>
      <c r="AD221" s="386"/>
      <c r="AE221" s="386"/>
      <c r="AF221" s="384"/>
      <c r="AG221" s="384"/>
      <c r="AH221" s="431"/>
      <c r="AI221" s="384"/>
    </row>
    <row r="222" spans="1:35" ht="10.5" customHeight="1" thickBot="1">
      <c r="A222" s="584" t="s">
        <v>442</v>
      </c>
      <c r="B222" s="585"/>
      <c r="C222" s="585"/>
      <c r="D222" s="585"/>
      <c r="E222" s="585"/>
      <c r="F222" s="585"/>
      <c r="G222" s="585"/>
      <c r="H222" s="585"/>
      <c r="I222" s="585"/>
      <c r="J222" s="585"/>
      <c r="K222" s="585"/>
      <c r="L222" s="585"/>
      <c r="M222" s="585"/>
      <c r="N222" s="585"/>
      <c r="O222" s="585"/>
      <c r="P222" s="585"/>
      <c r="Q222" s="585"/>
      <c r="R222" s="585"/>
      <c r="S222" s="585"/>
      <c r="T222" s="585"/>
      <c r="U222" s="585"/>
      <c r="V222" s="585"/>
      <c r="W222" s="585"/>
      <c r="X222" s="586"/>
      <c r="Y222" s="463"/>
      <c r="Z222" s="463"/>
      <c r="AA222" s="463"/>
      <c r="AB222" s="386"/>
      <c r="AC222" s="386"/>
      <c r="AD222" s="386"/>
      <c r="AE222" s="386"/>
      <c r="AF222" s="384"/>
      <c r="AG222" s="384"/>
      <c r="AH222" s="431"/>
      <c r="AI222" s="384"/>
    </row>
    <row r="223" spans="1:35" ht="10.5" customHeight="1">
      <c r="A223" s="557" t="s">
        <v>60</v>
      </c>
      <c r="B223" s="531" t="s">
        <v>0</v>
      </c>
      <c r="C223" s="532"/>
      <c r="D223" s="532"/>
      <c r="E223" s="532"/>
      <c r="F223" s="532"/>
      <c r="G223" s="533"/>
      <c r="H223" s="537" t="s">
        <v>274</v>
      </c>
      <c r="I223" s="539" t="s">
        <v>443</v>
      </c>
      <c r="J223" s="540"/>
      <c r="K223" s="576" t="s">
        <v>444</v>
      </c>
      <c r="L223" s="577"/>
      <c r="M223" s="577"/>
      <c r="N223" s="577"/>
      <c r="O223" s="577"/>
      <c r="P223" s="577"/>
      <c r="Q223" s="577"/>
      <c r="R223" s="577"/>
      <c r="S223" s="577"/>
      <c r="T223" s="540"/>
      <c r="U223" s="576" t="s">
        <v>445</v>
      </c>
      <c r="V223" s="540"/>
      <c r="W223" s="161" t="s">
        <v>446</v>
      </c>
      <c r="X223" s="162" t="s">
        <v>448</v>
      </c>
      <c r="Y223" s="464"/>
      <c r="Z223" s="464"/>
      <c r="AA223" s="464"/>
      <c r="AB223" s="386"/>
      <c r="AC223" s="386"/>
      <c r="AD223" s="386"/>
      <c r="AE223" s="386"/>
      <c r="AF223" s="384"/>
      <c r="AG223" s="384"/>
      <c r="AH223" s="431"/>
      <c r="AI223" s="384"/>
    </row>
    <row r="224" spans="1:35" ht="10.5" customHeight="1" thickBot="1">
      <c r="A224" s="558"/>
      <c r="B224" s="534"/>
      <c r="C224" s="535"/>
      <c r="D224" s="535"/>
      <c r="E224" s="535"/>
      <c r="F224" s="535"/>
      <c r="G224" s="536"/>
      <c r="H224" s="538"/>
      <c r="I224" s="167" t="s">
        <v>450</v>
      </c>
      <c r="J224" s="168" t="s">
        <v>44</v>
      </c>
      <c r="K224" s="168" t="s">
        <v>450</v>
      </c>
      <c r="L224" s="168" t="s">
        <v>44</v>
      </c>
      <c r="M224" s="169"/>
      <c r="N224" s="169"/>
      <c r="O224" s="169"/>
      <c r="P224" s="169"/>
      <c r="Q224" s="169"/>
      <c r="R224" s="169"/>
      <c r="S224" s="169"/>
      <c r="T224" s="168" t="s">
        <v>44</v>
      </c>
      <c r="U224" s="168" t="s">
        <v>450</v>
      </c>
      <c r="V224" s="168" t="s">
        <v>44</v>
      </c>
      <c r="W224" s="168" t="s">
        <v>447</v>
      </c>
      <c r="X224" s="172" t="s">
        <v>449</v>
      </c>
      <c r="Y224" s="464"/>
      <c r="Z224" s="464"/>
      <c r="AA224" s="464"/>
      <c r="AB224" s="386"/>
      <c r="AC224" s="386"/>
      <c r="AD224" s="386"/>
      <c r="AE224" s="386"/>
      <c r="AF224" s="384"/>
      <c r="AG224" s="384"/>
      <c r="AH224" s="431"/>
      <c r="AI224" s="384"/>
    </row>
    <row r="225" spans="1:35" ht="10.5" customHeight="1">
      <c r="A225" s="164" t="s">
        <v>277</v>
      </c>
      <c r="B225" s="156" t="s">
        <v>125</v>
      </c>
      <c r="C225" s="157"/>
      <c r="D225" s="157"/>
      <c r="E225" s="157"/>
      <c r="F225" s="157"/>
      <c r="G225" s="157"/>
      <c r="H225" s="179">
        <f>H207</f>
        <v>2319.4970000000003</v>
      </c>
      <c r="I225" s="176">
        <f>J225*H225</f>
        <v>2319.4970000000003</v>
      </c>
      <c r="J225" s="377">
        <v>1</v>
      </c>
      <c r="K225" s="173">
        <f>T225*H225</f>
        <v>0</v>
      </c>
      <c r="L225" s="170"/>
      <c r="M225" s="170"/>
      <c r="N225" s="170"/>
      <c r="O225" s="170"/>
      <c r="P225" s="170"/>
      <c r="Q225" s="170"/>
      <c r="R225" s="170"/>
      <c r="S225" s="170"/>
      <c r="T225" s="378">
        <v>0</v>
      </c>
      <c r="U225" s="173">
        <f>V225*H225</f>
        <v>0</v>
      </c>
      <c r="V225" s="378">
        <v>0</v>
      </c>
      <c r="W225" s="182" t="s">
        <v>453</v>
      </c>
      <c r="X225" s="185" t="s">
        <v>454</v>
      </c>
      <c r="Y225" s="464"/>
      <c r="Z225" s="464"/>
      <c r="AA225" s="464"/>
      <c r="AB225" s="386"/>
      <c r="AC225" s="386"/>
      <c r="AD225" s="386"/>
      <c r="AE225" s="386"/>
      <c r="AF225" s="384"/>
      <c r="AG225" s="384"/>
      <c r="AH225" s="431"/>
      <c r="AI225" s="384"/>
    </row>
    <row r="226" spans="1:35" ht="10.5" customHeight="1">
      <c r="A226" s="165" t="s">
        <v>278</v>
      </c>
      <c r="B226" s="88" t="s">
        <v>102</v>
      </c>
      <c r="C226" s="87"/>
      <c r="D226" s="87"/>
      <c r="E226" s="87"/>
      <c r="F226" s="87"/>
      <c r="G226" s="87"/>
      <c r="H226" s="180">
        <f aca="true" t="shared" si="43" ref="H226:H235">H208</f>
        <v>76803.37951779136</v>
      </c>
      <c r="I226" s="177">
        <f>J226*H226</f>
        <v>76803.37951779136</v>
      </c>
      <c r="J226" s="379">
        <v>1</v>
      </c>
      <c r="K226" s="174">
        <f>T226*H226</f>
        <v>0</v>
      </c>
      <c r="L226" s="160"/>
      <c r="M226" s="160"/>
      <c r="N226" s="160"/>
      <c r="O226" s="160"/>
      <c r="P226" s="160"/>
      <c r="Q226" s="160"/>
      <c r="R226" s="160"/>
      <c r="S226" s="160"/>
      <c r="T226" s="380">
        <v>0</v>
      </c>
      <c r="U226" s="174">
        <f>V226*H226</f>
        <v>0</v>
      </c>
      <c r="V226" s="380">
        <v>0</v>
      </c>
      <c r="W226" s="183" t="s">
        <v>452</v>
      </c>
      <c r="X226" s="186" t="s">
        <v>454</v>
      </c>
      <c r="Y226" s="464"/>
      <c r="Z226" s="464"/>
      <c r="AA226" s="464"/>
      <c r="AB226" s="386"/>
      <c r="AC226" s="386"/>
      <c r="AD226" s="386"/>
      <c r="AE226" s="386"/>
      <c r="AF226" s="384"/>
      <c r="AG226" s="384"/>
      <c r="AH226" s="431"/>
      <c r="AI226" s="384"/>
    </row>
    <row r="227" spans="1:35" ht="10.5" customHeight="1">
      <c r="A227" s="165" t="s">
        <v>279</v>
      </c>
      <c r="B227" s="88" t="s">
        <v>115</v>
      </c>
      <c r="C227" s="87"/>
      <c r="D227" s="87"/>
      <c r="E227" s="87"/>
      <c r="F227" s="87"/>
      <c r="G227" s="87"/>
      <c r="H227" s="180">
        <f t="shared" si="43"/>
        <v>16608.703289786223</v>
      </c>
      <c r="I227" s="177">
        <f aca="true" t="shared" si="44" ref="I227:I235">J227*H227</f>
        <v>16608.703289786223</v>
      </c>
      <c r="J227" s="379">
        <v>1</v>
      </c>
      <c r="K227" s="174">
        <f aca="true" t="shared" si="45" ref="K227:K234">T227*H227</f>
        <v>0</v>
      </c>
      <c r="L227" s="160"/>
      <c r="M227" s="160"/>
      <c r="N227" s="160"/>
      <c r="O227" s="160"/>
      <c r="P227" s="160"/>
      <c r="Q227" s="160"/>
      <c r="R227" s="160"/>
      <c r="S227" s="160"/>
      <c r="T227" s="380">
        <v>0</v>
      </c>
      <c r="U227" s="174">
        <f aca="true" t="shared" si="46" ref="U227:U234">V227*H227</f>
        <v>0</v>
      </c>
      <c r="V227" s="380">
        <v>0</v>
      </c>
      <c r="W227" s="183" t="s">
        <v>452</v>
      </c>
      <c r="X227" s="186" t="s">
        <v>454</v>
      </c>
      <c r="Y227" s="464"/>
      <c r="Z227" s="464"/>
      <c r="AA227" s="464"/>
      <c r="AB227" s="386"/>
      <c r="AC227" s="386"/>
      <c r="AD227" s="386"/>
      <c r="AE227" s="386"/>
      <c r="AF227" s="384"/>
      <c r="AG227" s="384"/>
      <c r="AH227" s="431"/>
      <c r="AI227" s="384"/>
    </row>
    <row r="228" spans="1:35" ht="10.5" customHeight="1">
      <c r="A228" s="165" t="s">
        <v>280</v>
      </c>
      <c r="B228" s="88" t="s">
        <v>288</v>
      </c>
      <c r="C228" s="87"/>
      <c r="D228" s="87"/>
      <c r="E228" s="87"/>
      <c r="F228" s="87"/>
      <c r="G228" s="87"/>
      <c r="H228" s="180">
        <f t="shared" si="43"/>
        <v>279464.66</v>
      </c>
      <c r="I228" s="177">
        <f t="shared" si="44"/>
        <v>279464.66</v>
      </c>
      <c r="J228" s="379">
        <v>1</v>
      </c>
      <c r="K228" s="174">
        <f t="shared" si="45"/>
        <v>0</v>
      </c>
      <c r="L228" s="160"/>
      <c r="M228" s="160"/>
      <c r="N228" s="160"/>
      <c r="O228" s="160"/>
      <c r="P228" s="160"/>
      <c r="Q228" s="160"/>
      <c r="R228" s="160"/>
      <c r="S228" s="160"/>
      <c r="T228" s="380">
        <v>0</v>
      </c>
      <c r="U228" s="174">
        <f t="shared" si="46"/>
        <v>0</v>
      </c>
      <c r="V228" s="380">
        <v>0</v>
      </c>
      <c r="W228" s="183" t="s">
        <v>452</v>
      </c>
      <c r="X228" s="186" t="s">
        <v>454</v>
      </c>
      <c r="Y228" s="464"/>
      <c r="Z228" s="464"/>
      <c r="AA228" s="464"/>
      <c r="AB228" s="386"/>
      <c r="AC228" s="386"/>
      <c r="AD228" s="386"/>
      <c r="AE228" s="386"/>
      <c r="AF228" s="384"/>
      <c r="AG228" s="384"/>
      <c r="AH228" s="431"/>
      <c r="AI228" s="384"/>
    </row>
    <row r="229" spans="1:35" ht="10.5" customHeight="1">
      <c r="A229" s="165" t="s">
        <v>281</v>
      </c>
      <c r="B229" s="88" t="s">
        <v>390</v>
      </c>
      <c r="C229" s="87"/>
      <c r="D229" s="87"/>
      <c r="E229" s="87"/>
      <c r="F229" s="87"/>
      <c r="G229" s="87"/>
      <c r="H229" s="180">
        <f t="shared" si="43"/>
        <v>12525.12</v>
      </c>
      <c r="I229" s="177">
        <f t="shared" si="44"/>
        <v>12525.12</v>
      </c>
      <c r="J229" s="379">
        <v>1</v>
      </c>
      <c r="K229" s="174">
        <f t="shared" si="45"/>
        <v>0</v>
      </c>
      <c r="L229" s="160"/>
      <c r="M229" s="160"/>
      <c r="N229" s="160"/>
      <c r="O229" s="160"/>
      <c r="P229" s="160"/>
      <c r="Q229" s="160"/>
      <c r="R229" s="160"/>
      <c r="S229" s="160"/>
      <c r="T229" s="380">
        <v>0</v>
      </c>
      <c r="U229" s="174">
        <f t="shared" si="46"/>
        <v>0</v>
      </c>
      <c r="V229" s="380">
        <v>0</v>
      </c>
      <c r="W229" s="183" t="s">
        <v>452</v>
      </c>
      <c r="X229" s="186" t="s">
        <v>454</v>
      </c>
      <c r="Y229" s="464"/>
      <c r="Z229" s="464"/>
      <c r="AA229" s="464"/>
      <c r="AB229" s="386"/>
      <c r="AC229" s="386"/>
      <c r="AD229" s="386"/>
      <c r="AE229" s="386"/>
      <c r="AF229" s="384"/>
      <c r="AG229" s="384"/>
      <c r="AH229" s="431"/>
      <c r="AI229" s="384"/>
    </row>
    <row r="230" spans="1:35" ht="10.5" customHeight="1">
      <c r="A230" s="165" t="s">
        <v>282</v>
      </c>
      <c r="B230" s="88" t="s">
        <v>315</v>
      </c>
      <c r="C230" s="87"/>
      <c r="D230" s="87"/>
      <c r="E230" s="87"/>
      <c r="F230" s="87"/>
      <c r="G230" s="87"/>
      <c r="H230" s="180">
        <f t="shared" si="43"/>
        <v>3924.16</v>
      </c>
      <c r="I230" s="177">
        <f t="shared" si="44"/>
        <v>3924.16</v>
      </c>
      <c r="J230" s="379">
        <v>1</v>
      </c>
      <c r="K230" s="174">
        <f t="shared" si="45"/>
        <v>0</v>
      </c>
      <c r="L230" s="160"/>
      <c r="M230" s="160"/>
      <c r="N230" s="160"/>
      <c r="O230" s="160"/>
      <c r="P230" s="160"/>
      <c r="Q230" s="160"/>
      <c r="R230" s="160"/>
      <c r="S230" s="160"/>
      <c r="T230" s="380">
        <v>0</v>
      </c>
      <c r="U230" s="174">
        <f t="shared" si="46"/>
        <v>0</v>
      </c>
      <c r="V230" s="380">
        <v>0</v>
      </c>
      <c r="W230" s="183" t="s">
        <v>452</v>
      </c>
      <c r="X230" s="186" t="s">
        <v>454</v>
      </c>
      <c r="Y230" s="464"/>
      <c r="Z230" s="464"/>
      <c r="AA230" s="464"/>
      <c r="AB230" s="386"/>
      <c r="AC230" s="386"/>
      <c r="AD230" s="386"/>
      <c r="AE230" s="386"/>
      <c r="AF230" s="384"/>
      <c r="AG230" s="384"/>
      <c r="AH230" s="431"/>
      <c r="AI230" s="384"/>
    </row>
    <row r="231" spans="1:35" ht="10.5" customHeight="1">
      <c r="A231" s="165" t="s">
        <v>283</v>
      </c>
      <c r="B231" s="88" t="s">
        <v>130</v>
      </c>
      <c r="C231" s="87"/>
      <c r="D231" s="87"/>
      <c r="E231" s="87"/>
      <c r="F231" s="87"/>
      <c r="G231" s="87"/>
      <c r="H231" s="180">
        <f t="shared" si="43"/>
        <v>54882.509999999995</v>
      </c>
      <c r="I231" s="177">
        <f t="shared" si="44"/>
        <v>54882.509999999995</v>
      </c>
      <c r="J231" s="379">
        <v>1</v>
      </c>
      <c r="K231" s="174">
        <f t="shared" si="45"/>
        <v>0</v>
      </c>
      <c r="L231" s="160"/>
      <c r="M231" s="160"/>
      <c r="N231" s="160"/>
      <c r="O231" s="160"/>
      <c r="P231" s="160"/>
      <c r="Q231" s="160"/>
      <c r="R231" s="160"/>
      <c r="S231" s="160"/>
      <c r="T231" s="380">
        <v>0</v>
      </c>
      <c r="U231" s="174">
        <f t="shared" si="46"/>
        <v>0</v>
      </c>
      <c r="V231" s="380">
        <v>0</v>
      </c>
      <c r="W231" s="183" t="s">
        <v>452</v>
      </c>
      <c r="X231" s="186" t="s">
        <v>454</v>
      </c>
      <c r="Y231" s="464"/>
      <c r="Z231" s="464"/>
      <c r="AA231" s="464"/>
      <c r="AB231" s="386"/>
      <c r="AC231" s="386"/>
      <c r="AD231" s="386"/>
      <c r="AE231" s="386"/>
      <c r="AF231" s="384"/>
      <c r="AG231" s="384"/>
      <c r="AH231" s="431"/>
      <c r="AI231" s="384"/>
    </row>
    <row r="232" spans="1:35" ht="10.5" customHeight="1">
      <c r="A232" s="165" t="s">
        <v>284</v>
      </c>
      <c r="B232" s="88" t="s">
        <v>184</v>
      </c>
      <c r="C232" s="87"/>
      <c r="D232" s="87"/>
      <c r="E232" s="87"/>
      <c r="F232" s="87"/>
      <c r="G232" s="87"/>
      <c r="H232" s="180">
        <f t="shared" si="43"/>
        <v>12161.871</v>
      </c>
      <c r="I232" s="177">
        <f t="shared" si="44"/>
        <v>12161.871</v>
      </c>
      <c r="J232" s="379">
        <v>1</v>
      </c>
      <c r="K232" s="174">
        <f t="shared" si="45"/>
        <v>0</v>
      </c>
      <c r="L232" s="160"/>
      <c r="M232" s="160"/>
      <c r="N232" s="160"/>
      <c r="O232" s="160"/>
      <c r="P232" s="160"/>
      <c r="Q232" s="160"/>
      <c r="R232" s="160"/>
      <c r="S232" s="160"/>
      <c r="T232" s="380">
        <v>0</v>
      </c>
      <c r="U232" s="174">
        <f t="shared" si="46"/>
        <v>0</v>
      </c>
      <c r="V232" s="380">
        <v>0</v>
      </c>
      <c r="W232" s="183" t="s">
        <v>452</v>
      </c>
      <c r="X232" s="186" t="s">
        <v>454</v>
      </c>
      <c r="Y232" s="464"/>
      <c r="Z232" s="464"/>
      <c r="AA232" s="464"/>
      <c r="AB232" s="386"/>
      <c r="AC232" s="386"/>
      <c r="AD232" s="386"/>
      <c r="AE232" s="386"/>
      <c r="AF232" s="384"/>
      <c r="AG232" s="384"/>
      <c r="AH232" s="431"/>
      <c r="AI232" s="384"/>
    </row>
    <row r="233" spans="1:35" ht="10.5" customHeight="1">
      <c r="A233" s="165" t="s">
        <v>285</v>
      </c>
      <c r="B233" s="88" t="s">
        <v>391</v>
      </c>
      <c r="C233" s="87"/>
      <c r="D233" s="87"/>
      <c r="E233" s="87"/>
      <c r="F233" s="87"/>
      <c r="G233" s="87"/>
      <c r="H233" s="180">
        <f t="shared" si="43"/>
        <v>36141.7675</v>
      </c>
      <c r="I233" s="177">
        <f t="shared" si="44"/>
        <v>36141.7675</v>
      </c>
      <c r="J233" s="379">
        <v>1</v>
      </c>
      <c r="K233" s="174">
        <f t="shared" si="45"/>
        <v>0</v>
      </c>
      <c r="L233" s="160"/>
      <c r="M233" s="160"/>
      <c r="N233" s="160"/>
      <c r="O233" s="160"/>
      <c r="P233" s="160"/>
      <c r="Q233" s="160"/>
      <c r="R233" s="160"/>
      <c r="S233" s="160"/>
      <c r="T233" s="380">
        <v>0</v>
      </c>
      <c r="U233" s="174">
        <f t="shared" si="46"/>
        <v>0</v>
      </c>
      <c r="V233" s="380">
        <v>0</v>
      </c>
      <c r="W233" s="183" t="s">
        <v>452</v>
      </c>
      <c r="X233" s="186" t="s">
        <v>454</v>
      </c>
      <c r="Y233" s="464"/>
      <c r="Z233" s="464"/>
      <c r="AA233" s="464"/>
      <c r="AB233" s="386"/>
      <c r="AC233" s="386"/>
      <c r="AD233" s="386"/>
      <c r="AE233" s="386"/>
      <c r="AF233" s="384"/>
      <c r="AG233" s="384"/>
      <c r="AH233" s="431"/>
      <c r="AI233" s="384"/>
    </row>
    <row r="234" spans="1:35" ht="10.5" customHeight="1">
      <c r="A234" s="165" t="s">
        <v>286</v>
      </c>
      <c r="B234" s="88" t="s">
        <v>276</v>
      </c>
      <c r="C234" s="87"/>
      <c r="D234" s="87"/>
      <c r="E234" s="87"/>
      <c r="F234" s="87"/>
      <c r="G234" s="87"/>
      <c r="H234" s="180">
        <f t="shared" si="43"/>
        <v>8071.683750319015</v>
      </c>
      <c r="I234" s="177">
        <f t="shared" si="44"/>
        <v>8071.683750319015</v>
      </c>
      <c r="J234" s="379">
        <v>1</v>
      </c>
      <c r="K234" s="174">
        <f t="shared" si="45"/>
        <v>0</v>
      </c>
      <c r="L234" s="160"/>
      <c r="M234" s="160"/>
      <c r="N234" s="160"/>
      <c r="O234" s="160"/>
      <c r="P234" s="160"/>
      <c r="Q234" s="160"/>
      <c r="R234" s="160"/>
      <c r="S234" s="160"/>
      <c r="T234" s="380">
        <v>0</v>
      </c>
      <c r="U234" s="174">
        <f t="shared" si="46"/>
        <v>0</v>
      </c>
      <c r="V234" s="380">
        <v>0</v>
      </c>
      <c r="W234" s="183" t="s">
        <v>452</v>
      </c>
      <c r="X234" s="186" t="s">
        <v>454</v>
      </c>
      <c r="Y234" s="464"/>
      <c r="Z234" s="464"/>
      <c r="AA234" s="464"/>
      <c r="AB234" s="386"/>
      <c r="AC234" s="386"/>
      <c r="AD234" s="386"/>
      <c r="AE234" s="386"/>
      <c r="AF234" s="384"/>
      <c r="AG234" s="384"/>
      <c r="AH234" s="431"/>
      <c r="AI234" s="384"/>
    </row>
    <row r="235" spans="1:35" ht="10.5" customHeight="1" thickBot="1">
      <c r="A235" s="166" t="s">
        <v>287</v>
      </c>
      <c r="B235" s="158" t="s">
        <v>299</v>
      </c>
      <c r="C235" s="159"/>
      <c r="D235" s="159"/>
      <c r="E235" s="159"/>
      <c r="F235" s="159"/>
      <c r="G235" s="159"/>
      <c r="H235" s="181">
        <f t="shared" si="43"/>
        <v>933.63</v>
      </c>
      <c r="I235" s="178">
        <f t="shared" si="44"/>
        <v>933.63</v>
      </c>
      <c r="J235" s="381">
        <v>1</v>
      </c>
      <c r="K235" s="175">
        <f>T235*H235</f>
        <v>0</v>
      </c>
      <c r="L235" s="163"/>
      <c r="M235" s="163"/>
      <c r="N235" s="163"/>
      <c r="O235" s="163"/>
      <c r="P235" s="163"/>
      <c r="Q235" s="163"/>
      <c r="R235" s="163"/>
      <c r="S235" s="163"/>
      <c r="T235" s="382">
        <v>0</v>
      </c>
      <c r="U235" s="175">
        <f>V235*H235</f>
        <v>0</v>
      </c>
      <c r="V235" s="382">
        <v>0</v>
      </c>
      <c r="W235" s="184" t="s">
        <v>452</v>
      </c>
      <c r="X235" s="187" t="s">
        <v>454</v>
      </c>
      <c r="Y235" s="464"/>
      <c r="Z235" s="464"/>
      <c r="AA235" s="464"/>
      <c r="AB235" s="386"/>
      <c r="AC235" s="386"/>
      <c r="AD235" s="386"/>
      <c r="AE235" s="386"/>
      <c r="AF235" s="384"/>
      <c r="AG235" s="384"/>
      <c r="AH235" s="431"/>
      <c r="AI235" s="384"/>
    </row>
    <row r="236" spans="1:35" ht="10.5" customHeight="1">
      <c r="A236" s="555" t="s">
        <v>455</v>
      </c>
      <c r="B236" s="532"/>
      <c r="C236" s="532"/>
      <c r="D236" s="532"/>
      <c r="E236" s="532"/>
      <c r="F236" s="556"/>
      <c r="G236" s="188" t="s">
        <v>76</v>
      </c>
      <c r="H236" s="191"/>
      <c r="I236" s="190"/>
      <c r="J236" s="193">
        <v>1</v>
      </c>
      <c r="K236" s="190"/>
      <c r="L236" s="190"/>
      <c r="M236" s="190"/>
      <c r="N236" s="190"/>
      <c r="O236" s="190"/>
      <c r="P236" s="190"/>
      <c r="Q236" s="190"/>
      <c r="R236" s="190"/>
      <c r="S236" s="190"/>
      <c r="T236" s="193">
        <v>0</v>
      </c>
      <c r="U236" s="190"/>
      <c r="V236" s="193">
        <v>0</v>
      </c>
      <c r="W236" s="190"/>
      <c r="X236" s="192"/>
      <c r="Y236" s="87"/>
      <c r="Z236" s="87"/>
      <c r="AA236" s="87"/>
      <c r="AB236" s="386"/>
      <c r="AC236" s="386"/>
      <c r="AD236" s="386"/>
      <c r="AE236" s="386"/>
      <c r="AF236" s="384"/>
      <c r="AG236" s="384"/>
      <c r="AH236" s="431"/>
      <c r="AI236" s="384"/>
    </row>
    <row r="237" spans="1:35" ht="10.5" customHeight="1" thickBot="1">
      <c r="A237" s="553" t="s">
        <v>456</v>
      </c>
      <c r="B237" s="535"/>
      <c r="C237" s="535"/>
      <c r="D237" s="535"/>
      <c r="E237" s="535"/>
      <c r="F237" s="554"/>
      <c r="G237" s="189" t="s">
        <v>451</v>
      </c>
      <c r="H237" s="194">
        <f>SUM(H225:H235)</f>
        <v>503836.98205789656</v>
      </c>
      <c r="I237" s="195">
        <f>SUM(I225:I235)</f>
        <v>503836.98205789656</v>
      </c>
      <c r="J237" s="163"/>
      <c r="K237" s="196">
        <f>SUM(K225:K235)</f>
        <v>0</v>
      </c>
      <c r="L237" s="163"/>
      <c r="M237" s="163"/>
      <c r="N237" s="163"/>
      <c r="O237" s="163"/>
      <c r="P237" s="163"/>
      <c r="Q237" s="163"/>
      <c r="R237" s="163"/>
      <c r="S237" s="163"/>
      <c r="T237" s="163"/>
      <c r="U237" s="196">
        <f>SUM(U225:U235)</f>
        <v>0</v>
      </c>
      <c r="V237" s="163"/>
      <c r="W237" s="163"/>
      <c r="X237" s="171"/>
      <c r="Y237" s="87"/>
      <c r="Z237" s="87"/>
      <c r="AA237" s="87"/>
      <c r="AB237" s="386"/>
      <c r="AC237" s="386"/>
      <c r="AD237" s="386"/>
      <c r="AE237" s="386"/>
      <c r="AF237" s="384"/>
      <c r="AG237" s="384"/>
      <c r="AH237" s="431"/>
      <c r="AI237" s="384"/>
    </row>
    <row r="238" spans="1:35" ht="10.5" customHeight="1">
      <c r="A238" s="87"/>
      <c r="B238" s="87"/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7"/>
      <c r="U238" s="87"/>
      <c r="V238" s="87"/>
      <c r="W238" s="87"/>
      <c r="X238" s="87"/>
      <c r="Y238" s="87"/>
      <c r="Z238" s="87"/>
      <c r="AA238" s="87"/>
      <c r="AB238" s="386"/>
      <c r="AC238" s="386"/>
      <c r="AD238" s="386"/>
      <c r="AE238" s="386"/>
      <c r="AF238" s="384"/>
      <c r="AG238" s="384"/>
      <c r="AH238" s="431"/>
      <c r="AI238" s="384"/>
    </row>
    <row r="239" spans="1:35" ht="10.5" customHeight="1">
      <c r="A239" s="87"/>
      <c r="B239" s="87"/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386"/>
      <c r="AC239" s="386"/>
      <c r="AD239" s="386"/>
      <c r="AE239" s="386"/>
      <c r="AF239" s="384"/>
      <c r="AG239" s="384"/>
      <c r="AH239" s="431"/>
      <c r="AI239" s="384"/>
    </row>
    <row r="240" spans="1:35" ht="10.5" customHeight="1">
      <c r="A240" s="87"/>
      <c r="B240" s="87"/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7"/>
      <c r="U240" s="87"/>
      <c r="V240" s="87"/>
      <c r="W240" s="87"/>
      <c r="X240" s="87"/>
      <c r="Y240" s="87"/>
      <c r="Z240" s="87"/>
      <c r="AA240" s="87"/>
      <c r="AB240" s="386"/>
      <c r="AC240" s="386"/>
      <c r="AD240" s="386"/>
      <c r="AE240" s="386"/>
      <c r="AF240" s="384"/>
      <c r="AG240" s="384"/>
      <c r="AH240" s="431"/>
      <c r="AI240" s="384"/>
    </row>
    <row r="241" spans="1:35" ht="10.5" customHeight="1">
      <c r="A241" s="87"/>
      <c r="B241" s="87"/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386"/>
      <c r="AC241" s="386"/>
      <c r="AD241" s="386"/>
      <c r="AE241" s="386"/>
      <c r="AF241" s="384"/>
      <c r="AG241" s="384"/>
      <c r="AH241" s="431"/>
      <c r="AI241" s="384"/>
    </row>
    <row r="242" spans="1:35" ht="10.5" customHeight="1">
      <c r="A242" s="87"/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386"/>
      <c r="AC242" s="386"/>
      <c r="AD242" s="386"/>
      <c r="AE242" s="386"/>
      <c r="AF242" s="384"/>
      <c r="AG242" s="384"/>
      <c r="AH242" s="431"/>
      <c r="AI242" s="384"/>
    </row>
    <row r="243" spans="1:35" ht="10.5" customHeight="1">
      <c r="A243" s="87"/>
      <c r="B243" s="87"/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7"/>
      <c r="U243" s="87"/>
      <c r="V243" s="87"/>
      <c r="W243" s="87"/>
      <c r="X243" s="87"/>
      <c r="Y243" s="87"/>
      <c r="Z243" s="87"/>
      <c r="AA243" s="87"/>
      <c r="AB243" s="386"/>
      <c r="AC243" s="386"/>
      <c r="AD243" s="386"/>
      <c r="AE243" s="386"/>
      <c r="AF243" s="384"/>
      <c r="AG243" s="384"/>
      <c r="AH243" s="431"/>
      <c r="AI243" s="384"/>
    </row>
    <row r="244" spans="1:35" ht="10.5" customHeight="1">
      <c r="A244" s="87"/>
      <c r="B244" s="87"/>
      <c r="C244" s="87"/>
      <c r="D244" s="87"/>
      <c r="E244" s="87"/>
      <c r="F244" s="87"/>
      <c r="G244" s="87"/>
      <c r="H244" s="87"/>
      <c r="I244" s="87"/>
      <c r="J244" s="87"/>
      <c r="K244" s="87"/>
      <c r="L244" s="87"/>
      <c r="M244" s="87"/>
      <c r="N244" s="87"/>
      <c r="O244" s="87"/>
      <c r="P244" s="87"/>
      <c r="Q244" s="87"/>
      <c r="R244" s="87"/>
      <c r="S244" s="87"/>
      <c r="T244" s="87"/>
      <c r="U244" s="87"/>
      <c r="V244" s="87"/>
      <c r="W244" s="87"/>
      <c r="X244" s="87"/>
      <c r="Y244" s="87"/>
      <c r="Z244" s="87"/>
      <c r="AA244" s="87"/>
      <c r="AB244" s="386"/>
      <c r="AC244" s="386"/>
      <c r="AD244" s="386"/>
      <c r="AE244" s="386"/>
      <c r="AF244" s="384"/>
      <c r="AG244" s="384"/>
      <c r="AH244" s="431"/>
      <c r="AI244" s="384"/>
    </row>
    <row r="245" spans="1:35" ht="10.5" customHeight="1">
      <c r="A245" s="87"/>
      <c r="B245" s="87"/>
      <c r="C245" s="87"/>
      <c r="D245" s="87"/>
      <c r="E245" s="87"/>
      <c r="F245" s="87"/>
      <c r="G245" s="87"/>
      <c r="H245" s="87"/>
      <c r="I245" s="87"/>
      <c r="J245" s="87"/>
      <c r="K245" s="87"/>
      <c r="L245" s="87"/>
      <c r="M245" s="87"/>
      <c r="N245" s="87"/>
      <c r="O245" s="87"/>
      <c r="P245" s="87"/>
      <c r="Q245" s="87"/>
      <c r="R245" s="87"/>
      <c r="S245" s="87"/>
      <c r="T245" s="87"/>
      <c r="U245" s="87"/>
      <c r="V245" s="87"/>
      <c r="W245" s="87"/>
      <c r="X245" s="87"/>
      <c r="Y245" s="87"/>
      <c r="Z245" s="87"/>
      <c r="AA245" s="87"/>
      <c r="AB245" s="386"/>
      <c r="AC245" s="386"/>
      <c r="AD245" s="386"/>
      <c r="AE245" s="386"/>
      <c r="AF245" s="384"/>
      <c r="AG245" s="384"/>
      <c r="AH245" s="431"/>
      <c r="AI245" s="384"/>
    </row>
    <row r="246" spans="1:35" ht="10.5" customHeight="1">
      <c r="A246" s="87"/>
      <c r="B246" s="87"/>
      <c r="C246" s="87"/>
      <c r="D246" s="87"/>
      <c r="E246" s="87"/>
      <c r="F246" s="87"/>
      <c r="G246" s="87"/>
      <c r="H246" s="87"/>
      <c r="I246" s="87"/>
      <c r="J246" s="87"/>
      <c r="K246" s="87"/>
      <c r="L246" s="87"/>
      <c r="M246" s="87"/>
      <c r="N246" s="87"/>
      <c r="O246" s="87"/>
      <c r="P246" s="87"/>
      <c r="Q246" s="87"/>
      <c r="R246" s="87"/>
      <c r="S246" s="87"/>
      <c r="T246" s="87"/>
      <c r="U246" s="87"/>
      <c r="V246" s="87"/>
      <c r="W246" s="87"/>
      <c r="X246" s="87"/>
      <c r="Y246" s="87"/>
      <c r="Z246" s="87"/>
      <c r="AA246" s="87"/>
      <c r="AB246" s="386"/>
      <c r="AC246" s="386"/>
      <c r="AD246" s="386"/>
      <c r="AE246" s="386"/>
      <c r="AF246" s="384"/>
      <c r="AG246" s="384"/>
      <c r="AH246" s="431"/>
      <c r="AI246" s="384"/>
    </row>
    <row r="247" spans="1:35" ht="10.5" customHeight="1" thickBot="1">
      <c r="A247" s="87"/>
      <c r="B247" s="87"/>
      <c r="C247" s="87"/>
      <c r="D247" s="87"/>
      <c r="E247" s="87"/>
      <c r="F247" s="87"/>
      <c r="G247" s="87"/>
      <c r="H247" s="87"/>
      <c r="I247" s="87"/>
      <c r="J247" s="87"/>
      <c r="K247" s="87"/>
      <c r="L247" s="87"/>
      <c r="M247" s="87"/>
      <c r="N247" s="87"/>
      <c r="O247" s="87"/>
      <c r="P247" s="87"/>
      <c r="Q247" s="87"/>
      <c r="R247" s="87"/>
      <c r="S247" s="87"/>
      <c r="T247" s="87"/>
      <c r="U247" s="87"/>
      <c r="V247" s="87"/>
      <c r="W247" s="87"/>
      <c r="X247" s="87"/>
      <c r="Y247" s="87"/>
      <c r="Z247" s="87"/>
      <c r="AA247" s="87"/>
      <c r="AB247" s="386"/>
      <c r="AC247" s="386"/>
      <c r="AD247" s="386"/>
      <c r="AE247" s="386"/>
      <c r="AF247" s="384"/>
      <c r="AG247" s="384"/>
      <c r="AH247" s="431"/>
      <c r="AI247" s="384"/>
    </row>
    <row r="248" spans="1:35" ht="10.5" customHeight="1">
      <c r="A248" s="156"/>
      <c r="B248" s="157"/>
      <c r="C248" s="157"/>
      <c r="D248" s="157"/>
      <c r="E248" s="157"/>
      <c r="F248" s="157"/>
      <c r="G248" s="157"/>
      <c r="H248" s="157"/>
      <c r="I248" s="157"/>
      <c r="J248" s="157"/>
      <c r="K248" s="157"/>
      <c r="L248" s="157"/>
      <c r="M248" s="157"/>
      <c r="N248" s="157"/>
      <c r="O248" s="157"/>
      <c r="P248" s="157"/>
      <c r="Q248" s="157"/>
      <c r="R248" s="157"/>
      <c r="S248" s="157"/>
      <c r="T248" s="157"/>
      <c r="U248" s="157"/>
      <c r="V248" s="157"/>
      <c r="W248" s="157"/>
      <c r="X248" s="202"/>
      <c r="Y248" s="87"/>
      <c r="Z248" s="87"/>
      <c r="AA248" s="87"/>
      <c r="AB248" s="386"/>
      <c r="AC248" s="386"/>
      <c r="AD248" s="386"/>
      <c r="AE248" s="386"/>
      <c r="AF248" s="384"/>
      <c r="AG248" s="384"/>
      <c r="AH248" s="431"/>
      <c r="AI248" s="384"/>
    </row>
    <row r="249" spans="1:35" ht="10.5" customHeight="1">
      <c r="A249" s="88"/>
      <c r="B249" s="87"/>
      <c r="C249" s="87"/>
      <c r="D249" s="87"/>
      <c r="E249" s="87"/>
      <c r="F249" s="87"/>
      <c r="G249" s="87"/>
      <c r="H249" s="87"/>
      <c r="I249" s="87"/>
      <c r="J249" s="87"/>
      <c r="K249" s="87"/>
      <c r="L249" s="87"/>
      <c r="M249" s="87"/>
      <c r="N249" s="87"/>
      <c r="O249" s="87"/>
      <c r="P249" s="87"/>
      <c r="Q249" s="87"/>
      <c r="R249" s="87"/>
      <c r="S249" s="87"/>
      <c r="T249" s="87"/>
      <c r="U249" s="87"/>
      <c r="V249" s="87"/>
      <c r="W249" s="87"/>
      <c r="X249" s="89"/>
      <c r="Y249" s="87"/>
      <c r="Z249" s="87"/>
      <c r="AA249" s="87"/>
      <c r="AB249" s="386"/>
      <c r="AC249" s="386"/>
      <c r="AD249" s="386"/>
      <c r="AE249" s="386"/>
      <c r="AF249" s="384"/>
      <c r="AG249" s="384"/>
      <c r="AH249" s="431"/>
      <c r="AI249" s="384"/>
    </row>
    <row r="250" spans="1:35" ht="10.5" customHeight="1">
      <c r="A250" s="88"/>
      <c r="B250" s="87"/>
      <c r="C250" s="87"/>
      <c r="D250" s="87"/>
      <c r="E250" s="87"/>
      <c r="F250" s="87"/>
      <c r="G250" s="87"/>
      <c r="H250" s="87"/>
      <c r="I250" s="87"/>
      <c r="J250" s="87"/>
      <c r="K250" s="87"/>
      <c r="L250" s="87"/>
      <c r="M250" s="87"/>
      <c r="N250" s="87"/>
      <c r="O250" s="87"/>
      <c r="P250" s="87"/>
      <c r="Q250" s="87"/>
      <c r="R250" s="87"/>
      <c r="S250" s="87"/>
      <c r="T250" s="87"/>
      <c r="U250" s="87"/>
      <c r="V250" s="87"/>
      <c r="W250" s="87"/>
      <c r="X250" s="89"/>
      <c r="Y250" s="87"/>
      <c r="Z250" s="87"/>
      <c r="AA250" s="87"/>
      <c r="AB250" s="386"/>
      <c r="AC250" s="386"/>
      <c r="AD250" s="386"/>
      <c r="AE250" s="386"/>
      <c r="AF250" s="384"/>
      <c r="AG250" s="384"/>
      <c r="AH250" s="431"/>
      <c r="AI250" s="384"/>
    </row>
    <row r="251" spans="1:35" ht="10.5" customHeight="1">
      <c r="A251" s="60"/>
      <c r="B251" s="51"/>
      <c r="C251" s="51"/>
      <c r="D251" s="51"/>
      <c r="E251" s="552" t="s">
        <v>271</v>
      </c>
      <c r="F251" s="552"/>
      <c r="G251" s="552"/>
      <c r="H251" s="552"/>
      <c r="I251" s="552"/>
      <c r="J251" s="552"/>
      <c r="K251" s="552"/>
      <c r="L251" s="552"/>
      <c r="M251" s="552"/>
      <c r="N251" s="552"/>
      <c r="O251" s="552"/>
      <c r="P251" s="552"/>
      <c r="Q251" s="552"/>
      <c r="R251" s="552"/>
      <c r="S251" s="552"/>
      <c r="T251" s="552"/>
      <c r="U251" s="552"/>
      <c r="V251" s="51"/>
      <c r="W251" s="51"/>
      <c r="X251" s="61"/>
      <c r="Y251" s="51"/>
      <c r="Z251" s="51"/>
      <c r="AA251" s="51"/>
      <c r="AB251" s="386"/>
      <c r="AC251" s="386"/>
      <c r="AD251" s="386"/>
      <c r="AE251" s="386"/>
      <c r="AF251" s="384"/>
      <c r="AG251" s="384"/>
      <c r="AH251" s="431"/>
      <c r="AI251" s="384"/>
    </row>
    <row r="252" spans="1:35" ht="10.5" customHeight="1">
      <c r="A252" s="60"/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  <c r="S252" s="51"/>
      <c r="T252" s="51"/>
      <c r="U252" s="51"/>
      <c r="V252" s="51"/>
      <c r="W252" s="51"/>
      <c r="X252" s="61"/>
      <c r="Y252" s="51"/>
      <c r="Z252" s="51"/>
      <c r="AA252" s="51"/>
      <c r="AB252" s="386"/>
      <c r="AC252" s="386"/>
      <c r="AD252" s="386"/>
      <c r="AE252" s="386"/>
      <c r="AF252" s="384"/>
      <c r="AG252" s="384"/>
      <c r="AH252" s="431"/>
      <c r="AI252" s="384"/>
    </row>
    <row r="253" spans="1:35" ht="10.5" customHeight="1">
      <c r="A253" s="550" t="s">
        <v>272</v>
      </c>
      <c r="B253" s="551"/>
      <c r="C253" s="551"/>
      <c r="D253" s="551"/>
      <c r="E253" s="551"/>
      <c r="F253" s="551"/>
      <c r="G253" s="551"/>
      <c r="H253" s="278">
        <f>X158</f>
        <v>503836.98205789656</v>
      </c>
      <c r="I253" s="53" t="e">
        <f>I162</f>
        <v>#NAME?</v>
      </c>
      <c r="J253" s="279"/>
      <c r="K253" s="280"/>
      <c r="L253" s="281"/>
      <c r="M253" s="281"/>
      <c r="N253" s="281"/>
      <c r="O253" s="281"/>
      <c r="P253" s="281"/>
      <c r="Q253" s="282"/>
      <c r="R253" s="283"/>
      <c r="S253" s="283"/>
      <c r="T253" s="284"/>
      <c r="U253" s="284"/>
      <c r="V253" s="2"/>
      <c r="W253" s="2"/>
      <c r="X253" s="285"/>
      <c r="Y253" s="2"/>
      <c r="Z253" s="2"/>
      <c r="AA253" s="2"/>
      <c r="AB253" s="386"/>
      <c r="AC253" s="386"/>
      <c r="AD253" s="386"/>
      <c r="AE253" s="386"/>
      <c r="AF253" s="384"/>
      <c r="AG253" s="384"/>
      <c r="AH253" s="431"/>
      <c r="AI253" s="384"/>
    </row>
    <row r="254" spans="1:35" ht="10.5" customHeight="1">
      <c r="A254" s="60"/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51"/>
      <c r="T254" s="51"/>
      <c r="U254" s="51"/>
      <c r="V254" s="51"/>
      <c r="W254" s="51"/>
      <c r="X254" s="61"/>
      <c r="Y254" s="51"/>
      <c r="Z254" s="51"/>
      <c r="AA254" s="51"/>
      <c r="AB254" s="386"/>
      <c r="AC254" s="386"/>
      <c r="AD254" s="386"/>
      <c r="AE254" s="386"/>
      <c r="AF254" s="384"/>
      <c r="AG254" s="384"/>
      <c r="AH254" s="431"/>
      <c r="AI254" s="384"/>
    </row>
    <row r="255" spans="1:35" ht="10.5" customHeight="1">
      <c r="A255" s="60"/>
      <c r="B255" s="51"/>
      <c r="C255" s="51"/>
      <c r="D255" s="51"/>
      <c r="E255" s="51"/>
      <c r="F255" s="51"/>
      <c r="G255" s="51"/>
      <c r="H255" s="552" t="s">
        <v>98</v>
      </c>
      <c r="I255" s="552"/>
      <c r="J255" s="51"/>
      <c r="K255" s="51"/>
      <c r="L255" s="51"/>
      <c r="M255" s="51"/>
      <c r="N255" s="51"/>
      <c r="O255" s="51"/>
      <c r="P255" s="51"/>
      <c r="Q255" s="51"/>
      <c r="R255" s="51"/>
      <c r="S255" s="51"/>
      <c r="T255" s="51"/>
      <c r="U255" s="51"/>
      <c r="V255" s="51"/>
      <c r="W255" s="51"/>
      <c r="X255" s="61"/>
      <c r="Y255" s="51"/>
      <c r="Z255" s="51"/>
      <c r="AA255" s="51"/>
      <c r="AB255" s="386"/>
      <c r="AC255" s="386"/>
      <c r="AD255" s="386"/>
      <c r="AE255" s="386"/>
      <c r="AF255" s="384"/>
      <c r="AG255" s="384"/>
      <c r="AH255" s="431"/>
      <c r="AI255" s="384"/>
    </row>
    <row r="256" spans="1:35" ht="10.5" customHeight="1">
      <c r="A256" s="60"/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51"/>
      <c r="T256" s="51"/>
      <c r="U256" s="51"/>
      <c r="V256" s="51"/>
      <c r="W256" s="51"/>
      <c r="X256" s="61"/>
      <c r="Y256" s="51"/>
      <c r="Z256" s="51"/>
      <c r="AA256" s="51"/>
      <c r="AB256" s="386"/>
      <c r="AC256" s="386"/>
      <c r="AD256" s="386"/>
      <c r="AE256" s="386"/>
      <c r="AF256" s="384"/>
      <c r="AG256" s="384"/>
      <c r="AH256" s="431"/>
      <c r="AI256" s="384"/>
    </row>
    <row r="257" spans="1:35" ht="10.5" customHeight="1">
      <c r="A257" s="60"/>
      <c r="B257" s="51"/>
      <c r="C257" s="51"/>
      <c r="D257" s="51"/>
      <c r="E257" s="552" t="s">
        <v>101</v>
      </c>
      <c r="F257" s="552"/>
      <c r="G257" s="552"/>
      <c r="H257" s="552"/>
      <c r="I257" s="552"/>
      <c r="J257" s="552"/>
      <c r="K257" s="552"/>
      <c r="L257" s="552"/>
      <c r="M257" s="552"/>
      <c r="N257" s="552"/>
      <c r="O257" s="552"/>
      <c r="P257" s="552"/>
      <c r="Q257" s="552"/>
      <c r="R257" s="552"/>
      <c r="S257" s="552"/>
      <c r="T257" s="552"/>
      <c r="U257" s="552"/>
      <c r="V257" s="51"/>
      <c r="W257" s="51"/>
      <c r="X257" s="61"/>
      <c r="Y257" s="51"/>
      <c r="Z257" s="51"/>
      <c r="AA257" s="51"/>
      <c r="AB257" s="386"/>
      <c r="AC257" s="386"/>
      <c r="AD257" s="386"/>
      <c r="AE257" s="386"/>
      <c r="AF257" s="384"/>
      <c r="AG257" s="384"/>
      <c r="AH257" s="431"/>
      <c r="AI257" s="384"/>
    </row>
    <row r="258" spans="1:35" ht="10.5" customHeight="1">
      <c r="A258" s="60"/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51"/>
      <c r="T258" s="51"/>
      <c r="U258" s="51"/>
      <c r="V258" s="51"/>
      <c r="W258" s="51"/>
      <c r="X258" s="61"/>
      <c r="Y258" s="51"/>
      <c r="Z258" s="51"/>
      <c r="AA258" s="51"/>
      <c r="AB258" s="386"/>
      <c r="AC258" s="386"/>
      <c r="AD258" s="386"/>
      <c r="AE258" s="386"/>
      <c r="AF258" s="384"/>
      <c r="AG258" s="384"/>
      <c r="AH258" s="431"/>
      <c r="AI258" s="384"/>
    </row>
    <row r="259" spans="1:35" ht="10.5" customHeight="1">
      <c r="A259" s="550" t="s">
        <v>273</v>
      </c>
      <c r="B259" s="551"/>
      <c r="C259" s="551"/>
      <c r="D259" s="551"/>
      <c r="E259" s="551"/>
      <c r="F259" s="551"/>
      <c r="G259" s="551"/>
      <c r="H259" s="278">
        <f>W158</f>
        <v>105041.21133096029</v>
      </c>
      <c r="I259" s="53" t="e">
        <f>I160</f>
        <v>#NAME?</v>
      </c>
      <c r="J259" s="279"/>
      <c r="K259" s="280"/>
      <c r="L259" s="281"/>
      <c r="M259" s="281"/>
      <c r="N259" s="281"/>
      <c r="O259" s="281"/>
      <c r="P259" s="281"/>
      <c r="Q259" s="282"/>
      <c r="R259" s="283"/>
      <c r="S259" s="283"/>
      <c r="T259" s="284"/>
      <c r="U259" s="284"/>
      <c r="V259" s="2"/>
      <c r="W259" s="2"/>
      <c r="X259" s="285"/>
      <c r="Y259" s="2"/>
      <c r="Z259" s="2"/>
      <c r="AA259" s="2"/>
      <c r="AB259" s="386"/>
      <c r="AC259" s="386"/>
      <c r="AD259" s="386"/>
      <c r="AE259" s="386"/>
      <c r="AF259" s="384"/>
      <c r="AG259" s="384"/>
      <c r="AH259" s="431"/>
      <c r="AI259" s="384"/>
    </row>
    <row r="260" spans="1:35" ht="10.5" customHeight="1">
      <c r="A260" s="60"/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51"/>
      <c r="T260" s="51"/>
      <c r="U260" s="51"/>
      <c r="V260" s="51"/>
      <c r="W260" s="51"/>
      <c r="X260" s="61"/>
      <c r="Y260" s="51"/>
      <c r="Z260" s="51"/>
      <c r="AA260" s="51"/>
      <c r="AB260" s="386"/>
      <c r="AC260" s="386"/>
      <c r="AD260" s="386"/>
      <c r="AE260" s="386"/>
      <c r="AF260" s="384"/>
      <c r="AG260" s="384"/>
      <c r="AH260" s="431"/>
      <c r="AI260" s="384"/>
    </row>
    <row r="261" spans="1:35" ht="10.5" customHeight="1">
      <c r="A261" s="60"/>
      <c r="B261" s="51"/>
      <c r="C261" s="51"/>
      <c r="D261" s="51"/>
      <c r="E261" s="51"/>
      <c r="F261" s="51"/>
      <c r="G261" s="51"/>
      <c r="H261" s="552" t="s">
        <v>99</v>
      </c>
      <c r="I261" s="552"/>
      <c r="J261" s="51"/>
      <c r="K261" s="51"/>
      <c r="L261" s="51"/>
      <c r="M261" s="51"/>
      <c r="N261" s="51"/>
      <c r="O261" s="51"/>
      <c r="P261" s="51"/>
      <c r="Q261" s="51"/>
      <c r="R261" s="51"/>
      <c r="S261" s="51"/>
      <c r="T261" s="51"/>
      <c r="U261" s="51"/>
      <c r="V261" s="51"/>
      <c r="W261" s="51"/>
      <c r="X261" s="61"/>
      <c r="Y261" s="51"/>
      <c r="Z261" s="51"/>
      <c r="AA261" s="51"/>
      <c r="AB261" s="386"/>
      <c r="AC261" s="386"/>
      <c r="AD261" s="386"/>
      <c r="AE261" s="386"/>
      <c r="AF261" s="384"/>
      <c r="AG261" s="384"/>
      <c r="AH261" s="431"/>
      <c r="AI261" s="384"/>
    </row>
    <row r="262" spans="1:35" ht="10.5" customHeight="1">
      <c r="A262" s="60"/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  <c r="Q262" s="51"/>
      <c r="R262" s="51"/>
      <c r="S262" s="51"/>
      <c r="T262" s="51"/>
      <c r="U262" s="51"/>
      <c r="V262" s="51"/>
      <c r="W262" s="51"/>
      <c r="X262" s="61"/>
      <c r="Y262" s="51"/>
      <c r="Z262" s="51"/>
      <c r="AA262" s="51"/>
      <c r="AB262" s="386"/>
      <c r="AC262" s="386"/>
      <c r="AD262" s="386"/>
      <c r="AE262" s="386"/>
      <c r="AF262" s="384"/>
      <c r="AG262" s="384"/>
      <c r="AH262" s="431"/>
      <c r="AI262" s="384"/>
    </row>
    <row r="263" spans="1:35" ht="10.5" customHeight="1">
      <c r="A263" s="60"/>
      <c r="B263" s="51"/>
      <c r="C263" s="51"/>
      <c r="D263" s="51"/>
      <c r="E263" s="552" t="s">
        <v>100</v>
      </c>
      <c r="F263" s="552"/>
      <c r="G263" s="552"/>
      <c r="H263" s="552"/>
      <c r="I263" s="552"/>
      <c r="J263" s="552"/>
      <c r="K263" s="552"/>
      <c r="L263" s="552"/>
      <c r="M263" s="552"/>
      <c r="N263" s="552"/>
      <c r="O263" s="552"/>
      <c r="P263" s="552"/>
      <c r="Q263" s="552"/>
      <c r="R263" s="552"/>
      <c r="S263" s="552"/>
      <c r="T263" s="552"/>
      <c r="U263" s="552"/>
      <c r="V263" s="51"/>
      <c r="W263" s="51"/>
      <c r="X263" s="61"/>
      <c r="Y263" s="51"/>
      <c r="Z263" s="51"/>
      <c r="AA263" s="51"/>
      <c r="AB263" s="386"/>
      <c r="AC263" s="386"/>
      <c r="AD263" s="386"/>
      <c r="AE263" s="386"/>
      <c r="AF263" s="384"/>
      <c r="AG263" s="384"/>
      <c r="AH263" s="431"/>
      <c r="AI263" s="384"/>
    </row>
    <row r="264" spans="1:35" ht="10.5" customHeight="1">
      <c r="A264" s="60"/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  <c r="S264" s="51"/>
      <c r="T264" s="51"/>
      <c r="U264" s="51"/>
      <c r="V264" s="51"/>
      <c r="W264" s="51"/>
      <c r="X264" s="61"/>
      <c r="Y264" s="51"/>
      <c r="Z264" s="51"/>
      <c r="AA264" s="51"/>
      <c r="AB264" s="386"/>
      <c r="AC264" s="386"/>
      <c r="AD264" s="386"/>
      <c r="AE264" s="386"/>
      <c r="AF264" s="384"/>
      <c r="AG264" s="384"/>
      <c r="AH264" s="431"/>
      <c r="AI264" s="384"/>
    </row>
    <row r="265" spans="1:35" ht="10.5" customHeight="1">
      <c r="A265" s="550" t="s">
        <v>269</v>
      </c>
      <c r="B265" s="551"/>
      <c r="C265" s="551"/>
      <c r="D265" s="551"/>
      <c r="E265" s="551"/>
      <c r="F265" s="551"/>
      <c r="G265" s="551"/>
      <c r="H265" s="278">
        <f>U158</f>
        <v>398795.77072693635</v>
      </c>
      <c r="I265" s="53" t="e">
        <f>I161</f>
        <v>#NAME?</v>
      </c>
      <c r="J265" s="279"/>
      <c r="K265" s="280"/>
      <c r="L265" s="281"/>
      <c r="M265" s="281"/>
      <c r="N265" s="281"/>
      <c r="O265" s="281"/>
      <c r="P265" s="281"/>
      <c r="Q265" s="282"/>
      <c r="R265" s="283"/>
      <c r="S265" s="283"/>
      <c r="T265" s="284"/>
      <c r="U265" s="284"/>
      <c r="V265" s="2"/>
      <c r="W265" s="2"/>
      <c r="X265" s="285"/>
      <c r="Y265" s="2"/>
      <c r="Z265" s="2"/>
      <c r="AA265" s="2"/>
      <c r="AB265" s="386"/>
      <c r="AC265" s="386"/>
      <c r="AD265" s="386"/>
      <c r="AE265" s="386"/>
      <c r="AF265" s="384"/>
      <c r="AG265" s="384"/>
      <c r="AH265" s="431"/>
      <c r="AI265" s="384"/>
    </row>
    <row r="266" spans="1:35" ht="10.5" customHeight="1">
      <c r="A266" s="60"/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51"/>
      <c r="T266" s="51"/>
      <c r="U266" s="51"/>
      <c r="V266" s="51"/>
      <c r="W266" s="51"/>
      <c r="X266" s="61"/>
      <c r="Y266" s="51"/>
      <c r="Z266" s="51"/>
      <c r="AA266" s="51"/>
      <c r="AB266" s="386"/>
      <c r="AC266" s="386"/>
      <c r="AD266" s="386"/>
      <c r="AE266" s="386"/>
      <c r="AF266" s="384"/>
      <c r="AG266" s="384"/>
      <c r="AH266" s="431"/>
      <c r="AI266" s="384"/>
    </row>
    <row r="267" spans="1:35" ht="10.5" customHeight="1">
      <c r="A267" s="60"/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51"/>
      <c r="T267" s="51"/>
      <c r="U267" s="51"/>
      <c r="V267" s="51"/>
      <c r="W267" s="51"/>
      <c r="X267" s="61"/>
      <c r="Y267" s="51"/>
      <c r="Z267" s="51"/>
      <c r="AA267" s="51"/>
      <c r="AB267" s="386"/>
      <c r="AC267" s="386"/>
      <c r="AD267" s="386"/>
      <c r="AE267" s="386"/>
      <c r="AF267" s="384"/>
      <c r="AG267" s="384"/>
      <c r="AH267" s="431"/>
      <c r="AI267" s="384"/>
    </row>
    <row r="268" spans="1:35" ht="10.5" customHeight="1" thickBot="1">
      <c r="A268" s="58"/>
      <c r="B268" s="48"/>
      <c r="C268" s="48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59"/>
      <c r="Y268" s="51"/>
      <c r="Z268" s="51"/>
      <c r="AA268" s="51"/>
      <c r="AB268" s="386"/>
      <c r="AC268" s="386"/>
      <c r="AD268" s="386"/>
      <c r="AE268" s="386"/>
      <c r="AF268" s="384"/>
      <c r="AG268" s="384"/>
      <c r="AH268" s="431"/>
      <c r="AI268" s="384"/>
    </row>
    <row r="269" spans="1:35" ht="10.5" customHeight="1">
      <c r="A269" s="367"/>
      <c r="B269" s="367"/>
      <c r="C269" s="372"/>
      <c r="D269" s="372"/>
      <c r="E269" s="372"/>
      <c r="F269" s="372"/>
      <c r="G269" s="55"/>
      <c r="H269" s="55"/>
      <c r="I269" s="383"/>
      <c r="J269" s="52"/>
      <c r="K269" s="52"/>
      <c r="L269" s="384"/>
      <c r="M269" s="384"/>
      <c r="N269" s="384"/>
      <c r="O269" s="384"/>
      <c r="P269" s="384"/>
      <c r="Q269" s="384"/>
      <c r="R269" s="384"/>
      <c r="S269" s="384"/>
      <c r="T269" s="385"/>
      <c r="U269" s="385"/>
      <c r="V269" s="385"/>
      <c r="W269" s="385"/>
      <c r="X269" s="386"/>
      <c r="Y269" s="386"/>
      <c r="Z269" s="386"/>
      <c r="AA269" s="386"/>
      <c r="AB269" s="386"/>
      <c r="AC269" s="386"/>
      <c r="AD269" s="386"/>
      <c r="AE269" s="386"/>
      <c r="AF269" s="384"/>
      <c r="AG269" s="384"/>
      <c r="AH269" s="431"/>
      <c r="AI269" s="384"/>
    </row>
    <row r="270" spans="1:35" ht="10.5" customHeight="1">
      <c r="A270" s="367"/>
      <c r="B270" s="367"/>
      <c r="C270" s="372"/>
      <c r="D270" s="372"/>
      <c r="E270" s="372"/>
      <c r="F270" s="372"/>
      <c r="G270" s="55"/>
      <c r="H270" s="55"/>
      <c r="I270" s="383"/>
      <c r="J270" s="52"/>
      <c r="K270" s="52"/>
      <c r="L270" s="384"/>
      <c r="M270" s="384"/>
      <c r="N270" s="384"/>
      <c r="O270" s="384"/>
      <c r="P270" s="384"/>
      <c r="Q270" s="384"/>
      <c r="R270" s="384"/>
      <c r="S270" s="384"/>
      <c r="T270" s="385"/>
      <c r="U270" s="385"/>
      <c r="V270" s="385"/>
      <c r="W270" s="385"/>
      <c r="X270" s="386"/>
      <c r="Y270" s="386"/>
      <c r="Z270" s="386"/>
      <c r="AA270" s="386"/>
      <c r="AB270" s="386"/>
      <c r="AC270" s="386"/>
      <c r="AD270" s="386"/>
      <c r="AE270" s="386"/>
      <c r="AF270" s="384"/>
      <c r="AG270" s="384"/>
      <c r="AH270" s="431"/>
      <c r="AI270" s="384"/>
    </row>
    <row r="271" spans="1:35" ht="10.5" customHeight="1">
      <c r="A271" s="367"/>
      <c r="B271" s="367"/>
      <c r="C271" s="372"/>
      <c r="D271" s="372"/>
      <c r="E271" s="372"/>
      <c r="F271" s="372"/>
      <c r="G271" s="55"/>
      <c r="H271" s="55"/>
      <c r="I271" s="383"/>
      <c r="J271" s="52"/>
      <c r="K271" s="52"/>
      <c r="L271" s="384"/>
      <c r="M271" s="384"/>
      <c r="N271" s="384"/>
      <c r="O271" s="384"/>
      <c r="P271" s="384"/>
      <c r="Q271" s="384"/>
      <c r="R271" s="384"/>
      <c r="S271" s="384"/>
      <c r="T271" s="385"/>
      <c r="U271" s="385"/>
      <c r="V271" s="385"/>
      <c r="W271" s="385"/>
      <c r="X271" s="386"/>
      <c r="Y271" s="386"/>
      <c r="Z271" s="386"/>
      <c r="AA271" s="386"/>
      <c r="AB271" s="386"/>
      <c r="AC271" s="386"/>
      <c r="AD271" s="386"/>
      <c r="AE271" s="386"/>
      <c r="AF271" s="384"/>
      <c r="AG271" s="384"/>
      <c r="AH271" s="431"/>
      <c r="AI271" s="384"/>
    </row>
    <row r="272" spans="1:35" ht="10.5" customHeight="1">
      <c r="A272" s="367"/>
      <c r="B272" s="367"/>
      <c r="C272" s="372"/>
      <c r="D272" s="372"/>
      <c r="E272" s="372"/>
      <c r="F272" s="372"/>
      <c r="G272" s="55"/>
      <c r="H272" s="55"/>
      <c r="I272" s="383"/>
      <c r="J272" s="52"/>
      <c r="K272" s="52"/>
      <c r="L272" s="384"/>
      <c r="M272" s="384"/>
      <c r="N272" s="384"/>
      <c r="O272" s="384"/>
      <c r="P272" s="384"/>
      <c r="Q272" s="384"/>
      <c r="R272" s="384"/>
      <c r="S272" s="384"/>
      <c r="T272" s="385"/>
      <c r="U272" s="385"/>
      <c r="V272" s="385"/>
      <c r="W272" s="385"/>
      <c r="X272" s="386"/>
      <c r="Y272" s="386"/>
      <c r="Z272" s="386"/>
      <c r="AA272" s="386"/>
      <c r="AB272" s="386"/>
      <c r="AC272" s="386"/>
      <c r="AD272" s="386"/>
      <c r="AE272" s="386"/>
      <c r="AF272" s="384"/>
      <c r="AG272" s="384"/>
      <c r="AH272" s="431"/>
      <c r="AI272" s="384"/>
    </row>
    <row r="273" spans="1:35" ht="10.5" customHeight="1">
      <c r="A273" s="367"/>
      <c r="B273" s="367"/>
      <c r="C273" s="372"/>
      <c r="D273" s="372"/>
      <c r="E273" s="372"/>
      <c r="F273" s="372"/>
      <c r="G273" s="55"/>
      <c r="H273" s="55"/>
      <c r="I273" s="383"/>
      <c r="J273" s="52"/>
      <c r="K273" s="52"/>
      <c r="L273" s="384"/>
      <c r="M273" s="384"/>
      <c r="N273" s="384"/>
      <c r="O273" s="384"/>
      <c r="P273" s="384"/>
      <c r="Q273" s="384"/>
      <c r="R273" s="384"/>
      <c r="S273" s="384"/>
      <c r="T273" s="385"/>
      <c r="U273" s="385"/>
      <c r="V273" s="385"/>
      <c r="W273" s="385"/>
      <c r="X273" s="386"/>
      <c r="Y273" s="386"/>
      <c r="Z273" s="386"/>
      <c r="AA273" s="386"/>
      <c r="AB273" s="386"/>
      <c r="AC273" s="386"/>
      <c r="AD273" s="386"/>
      <c r="AE273" s="386"/>
      <c r="AF273" s="384"/>
      <c r="AG273" s="384"/>
      <c r="AH273" s="431"/>
      <c r="AI273" s="384"/>
    </row>
    <row r="274" spans="1:35" ht="10.5" customHeight="1">
      <c r="A274" s="367"/>
      <c r="B274" s="367"/>
      <c r="C274" s="372"/>
      <c r="D274" s="372"/>
      <c r="E274" s="372"/>
      <c r="F274" s="372"/>
      <c r="G274" s="55"/>
      <c r="H274" s="55"/>
      <c r="I274" s="383"/>
      <c r="J274" s="52"/>
      <c r="K274" s="52"/>
      <c r="L274" s="384"/>
      <c r="M274" s="384"/>
      <c r="N274" s="384"/>
      <c r="O274" s="384"/>
      <c r="P274" s="384"/>
      <c r="Q274" s="384"/>
      <c r="R274" s="384"/>
      <c r="S274" s="384"/>
      <c r="T274" s="385"/>
      <c r="U274" s="385"/>
      <c r="V274" s="385"/>
      <c r="W274" s="385"/>
      <c r="X274" s="386"/>
      <c r="Y274" s="386"/>
      <c r="Z274" s="386"/>
      <c r="AA274" s="386"/>
      <c r="AB274" s="386"/>
      <c r="AC274" s="386"/>
      <c r="AD274" s="386"/>
      <c r="AE274" s="386"/>
      <c r="AF274" s="384"/>
      <c r="AG274" s="384"/>
      <c r="AH274" s="431"/>
      <c r="AI274" s="384"/>
    </row>
    <row r="275" spans="1:35" ht="10.5" customHeight="1">
      <c r="A275" s="367"/>
      <c r="B275" s="367"/>
      <c r="C275" s="372"/>
      <c r="D275" s="372"/>
      <c r="E275" s="372"/>
      <c r="F275" s="372"/>
      <c r="G275" s="55"/>
      <c r="H275" s="55"/>
      <c r="I275" s="383"/>
      <c r="J275" s="52"/>
      <c r="K275" s="52"/>
      <c r="L275" s="384"/>
      <c r="M275" s="384"/>
      <c r="N275" s="384"/>
      <c r="O275" s="384"/>
      <c r="P275" s="384"/>
      <c r="Q275" s="384"/>
      <c r="R275" s="384"/>
      <c r="S275" s="384"/>
      <c r="T275" s="385"/>
      <c r="U275" s="385"/>
      <c r="V275" s="385"/>
      <c r="W275" s="385"/>
      <c r="X275" s="386"/>
      <c r="Y275" s="386"/>
      <c r="Z275" s="386"/>
      <c r="AA275" s="386"/>
      <c r="AB275" s="386"/>
      <c r="AC275" s="386"/>
      <c r="AD275" s="386"/>
      <c r="AE275" s="386"/>
      <c r="AF275" s="384"/>
      <c r="AG275" s="384"/>
      <c r="AH275" s="431"/>
      <c r="AI275" s="384"/>
    </row>
    <row r="276" spans="1:35" ht="10.5" customHeight="1">
      <c r="A276" s="367"/>
      <c r="B276" s="367"/>
      <c r="C276" s="372"/>
      <c r="D276" s="372"/>
      <c r="E276" s="372"/>
      <c r="F276" s="372"/>
      <c r="G276" s="55"/>
      <c r="H276" s="55"/>
      <c r="I276" s="383"/>
      <c r="J276" s="52"/>
      <c r="K276" s="52"/>
      <c r="L276" s="384"/>
      <c r="M276" s="384"/>
      <c r="N276" s="384"/>
      <c r="O276" s="384"/>
      <c r="P276" s="384"/>
      <c r="Q276" s="384"/>
      <c r="R276" s="384"/>
      <c r="S276" s="384"/>
      <c r="T276" s="385"/>
      <c r="U276" s="385"/>
      <c r="V276" s="385"/>
      <c r="W276" s="385"/>
      <c r="X276" s="386"/>
      <c r="Y276" s="386"/>
      <c r="Z276" s="386"/>
      <c r="AA276" s="386"/>
      <c r="AB276" s="386"/>
      <c r="AC276" s="386"/>
      <c r="AD276" s="386"/>
      <c r="AE276" s="386"/>
      <c r="AF276" s="384"/>
      <c r="AG276" s="384"/>
      <c r="AH276" s="431"/>
      <c r="AI276" s="384"/>
    </row>
    <row r="277" spans="1:35" ht="10.5" customHeight="1">
      <c r="A277" s="367"/>
      <c r="B277" s="367"/>
      <c r="C277" s="372"/>
      <c r="D277" s="372"/>
      <c r="E277" s="372"/>
      <c r="F277" s="372"/>
      <c r="G277" s="55"/>
      <c r="H277" s="55"/>
      <c r="I277" s="383"/>
      <c r="J277" s="52"/>
      <c r="K277" s="52"/>
      <c r="L277" s="384"/>
      <c r="M277" s="384"/>
      <c r="N277" s="384"/>
      <c r="O277" s="384"/>
      <c r="P277" s="384"/>
      <c r="Q277" s="384"/>
      <c r="R277" s="384"/>
      <c r="S277" s="384"/>
      <c r="T277" s="385"/>
      <c r="U277" s="385"/>
      <c r="V277" s="385"/>
      <c r="W277" s="385"/>
      <c r="X277" s="386"/>
      <c r="Y277" s="386"/>
      <c r="Z277" s="386"/>
      <c r="AA277" s="386"/>
      <c r="AB277" s="386"/>
      <c r="AC277" s="386"/>
      <c r="AD277" s="386"/>
      <c r="AE277" s="386"/>
      <c r="AF277" s="384"/>
      <c r="AG277" s="384"/>
      <c r="AH277" s="431"/>
      <c r="AI277" s="384"/>
    </row>
    <row r="278" spans="1:35" ht="10.5" customHeight="1">
      <c r="A278" s="367"/>
      <c r="B278" s="367"/>
      <c r="C278" s="372"/>
      <c r="D278" s="372"/>
      <c r="E278" s="372"/>
      <c r="F278" s="372"/>
      <c r="G278" s="55"/>
      <c r="H278" s="55"/>
      <c r="I278" s="383"/>
      <c r="J278" s="52"/>
      <c r="K278" s="52"/>
      <c r="L278" s="384"/>
      <c r="M278" s="384"/>
      <c r="N278" s="384"/>
      <c r="O278" s="384"/>
      <c r="P278" s="384"/>
      <c r="Q278" s="384"/>
      <c r="R278" s="384"/>
      <c r="S278" s="384"/>
      <c r="T278" s="385"/>
      <c r="U278" s="385"/>
      <c r="V278" s="385"/>
      <c r="W278" s="385"/>
      <c r="X278" s="386"/>
      <c r="Y278" s="386"/>
      <c r="Z278" s="386"/>
      <c r="AA278" s="386"/>
      <c r="AB278" s="386"/>
      <c r="AC278" s="386"/>
      <c r="AD278" s="386"/>
      <c r="AE278" s="386"/>
      <c r="AF278" s="384"/>
      <c r="AG278" s="384"/>
      <c r="AH278" s="431"/>
      <c r="AI278" s="384"/>
    </row>
    <row r="279" spans="1:35" ht="10.5" customHeight="1">
      <c r="A279" s="367"/>
      <c r="B279" s="367"/>
      <c r="C279" s="372"/>
      <c r="D279" s="372"/>
      <c r="E279" s="372"/>
      <c r="F279" s="372"/>
      <c r="G279" s="55"/>
      <c r="H279" s="55"/>
      <c r="I279" s="383"/>
      <c r="J279" s="52"/>
      <c r="K279" s="52"/>
      <c r="L279" s="384"/>
      <c r="M279" s="384"/>
      <c r="N279" s="384"/>
      <c r="O279" s="384"/>
      <c r="P279" s="384"/>
      <c r="Q279" s="384"/>
      <c r="R279" s="384"/>
      <c r="S279" s="384"/>
      <c r="T279" s="385"/>
      <c r="U279" s="385"/>
      <c r="V279" s="385"/>
      <c r="W279" s="385"/>
      <c r="X279" s="386"/>
      <c r="Y279" s="386"/>
      <c r="Z279" s="386"/>
      <c r="AA279" s="386"/>
      <c r="AB279" s="386"/>
      <c r="AC279" s="386"/>
      <c r="AD279" s="386"/>
      <c r="AE279" s="386"/>
      <c r="AF279" s="384"/>
      <c r="AG279" s="384"/>
      <c r="AH279" s="431"/>
      <c r="AI279" s="384"/>
    </row>
    <row r="280" spans="1:35" ht="10.5" customHeight="1">
      <c r="A280" s="367"/>
      <c r="B280" s="367"/>
      <c r="C280" s="372"/>
      <c r="D280" s="372"/>
      <c r="E280" s="372"/>
      <c r="F280" s="372"/>
      <c r="G280" s="55"/>
      <c r="H280" s="55"/>
      <c r="I280" s="383"/>
      <c r="J280" s="52"/>
      <c r="K280" s="52"/>
      <c r="L280" s="384"/>
      <c r="M280" s="384"/>
      <c r="N280" s="384"/>
      <c r="O280" s="384"/>
      <c r="P280" s="384"/>
      <c r="Q280" s="384"/>
      <c r="R280" s="384"/>
      <c r="S280" s="384"/>
      <c r="T280" s="385"/>
      <c r="U280" s="385"/>
      <c r="V280" s="385"/>
      <c r="W280" s="385"/>
      <c r="X280" s="386"/>
      <c r="Y280" s="386"/>
      <c r="Z280" s="386"/>
      <c r="AA280" s="386"/>
      <c r="AB280" s="386"/>
      <c r="AC280" s="386"/>
      <c r="AD280" s="386"/>
      <c r="AE280" s="386"/>
      <c r="AF280" s="384"/>
      <c r="AG280" s="384"/>
      <c r="AH280" s="431"/>
      <c r="AI280" s="384"/>
    </row>
    <row r="281" spans="1:35" ht="10.5" customHeight="1">
      <c r="A281" s="367"/>
      <c r="B281" s="367"/>
      <c r="C281" s="372"/>
      <c r="D281" s="372"/>
      <c r="E281" s="372"/>
      <c r="F281" s="372"/>
      <c r="G281" s="55"/>
      <c r="H281" s="55"/>
      <c r="I281" s="383"/>
      <c r="J281" s="52"/>
      <c r="K281" s="52"/>
      <c r="L281" s="384"/>
      <c r="M281" s="384"/>
      <c r="N281" s="384"/>
      <c r="O281" s="384"/>
      <c r="P281" s="384"/>
      <c r="Q281" s="384"/>
      <c r="R281" s="384"/>
      <c r="S281" s="384"/>
      <c r="T281" s="385"/>
      <c r="U281" s="385"/>
      <c r="V281" s="385"/>
      <c r="W281" s="385"/>
      <c r="X281" s="386"/>
      <c r="Y281" s="386"/>
      <c r="Z281" s="386"/>
      <c r="AA281" s="386"/>
      <c r="AB281" s="386"/>
      <c r="AC281" s="386"/>
      <c r="AD281" s="386"/>
      <c r="AE281" s="386"/>
      <c r="AF281" s="384"/>
      <c r="AG281" s="384"/>
      <c r="AH281" s="431"/>
      <c r="AI281" s="384"/>
    </row>
    <row r="282" spans="1:35" ht="10.5" customHeight="1">
      <c r="A282" s="367"/>
      <c r="B282" s="367"/>
      <c r="C282" s="372"/>
      <c r="D282" s="372"/>
      <c r="E282" s="372"/>
      <c r="F282" s="372"/>
      <c r="G282" s="55"/>
      <c r="H282" s="55"/>
      <c r="I282" s="383"/>
      <c r="J282" s="52"/>
      <c r="K282" s="52"/>
      <c r="L282" s="384"/>
      <c r="M282" s="384"/>
      <c r="N282" s="384"/>
      <c r="O282" s="384"/>
      <c r="P282" s="384"/>
      <c r="Q282" s="384"/>
      <c r="R282" s="384"/>
      <c r="S282" s="384"/>
      <c r="T282" s="385"/>
      <c r="U282" s="385"/>
      <c r="V282" s="385"/>
      <c r="W282" s="385"/>
      <c r="X282" s="386"/>
      <c r="Y282" s="386"/>
      <c r="Z282" s="386"/>
      <c r="AA282" s="386"/>
      <c r="AB282" s="386"/>
      <c r="AC282" s="386"/>
      <c r="AD282" s="386"/>
      <c r="AE282" s="386"/>
      <c r="AF282" s="384"/>
      <c r="AG282" s="384"/>
      <c r="AH282" s="431"/>
      <c r="AI282" s="384"/>
    </row>
    <row r="283" spans="1:35" ht="10.5" customHeight="1">
      <c r="A283" s="367"/>
      <c r="B283" s="367"/>
      <c r="C283" s="372"/>
      <c r="D283" s="372"/>
      <c r="E283" s="372"/>
      <c r="F283" s="372"/>
      <c r="G283" s="55"/>
      <c r="H283" s="55"/>
      <c r="I283" s="383"/>
      <c r="J283" s="52"/>
      <c r="K283" s="52"/>
      <c r="L283" s="384"/>
      <c r="M283" s="384"/>
      <c r="N283" s="384"/>
      <c r="O283" s="384"/>
      <c r="P283" s="384"/>
      <c r="Q283" s="384"/>
      <c r="R283" s="384"/>
      <c r="S283" s="384"/>
      <c r="T283" s="385"/>
      <c r="U283" s="385"/>
      <c r="V283" s="385"/>
      <c r="W283" s="385"/>
      <c r="X283" s="386"/>
      <c r="Y283" s="386"/>
      <c r="Z283" s="386"/>
      <c r="AA283" s="386"/>
      <c r="AB283" s="386"/>
      <c r="AC283" s="386"/>
      <c r="AD283" s="386"/>
      <c r="AE283" s="386"/>
      <c r="AF283" s="384"/>
      <c r="AG283" s="384"/>
      <c r="AH283" s="431"/>
      <c r="AI283" s="384"/>
    </row>
    <row r="284" spans="1:35" ht="10.5" customHeight="1">
      <c r="A284" s="367"/>
      <c r="B284" s="367"/>
      <c r="C284" s="372"/>
      <c r="D284" s="372"/>
      <c r="E284" s="372"/>
      <c r="F284" s="372"/>
      <c r="G284" s="55"/>
      <c r="H284" s="55"/>
      <c r="I284" s="383"/>
      <c r="J284" s="52"/>
      <c r="K284" s="52"/>
      <c r="L284" s="384"/>
      <c r="M284" s="384"/>
      <c r="N284" s="384"/>
      <c r="O284" s="384"/>
      <c r="P284" s="384"/>
      <c r="Q284" s="384"/>
      <c r="R284" s="384"/>
      <c r="S284" s="384"/>
      <c r="T284" s="385"/>
      <c r="U284" s="385"/>
      <c r="V284" s="385"/>
      <c r="W284" s="385"/>
      <c r="X284" s="386"/>
      <c r="Y284" s="386"/>
      <c r="Z284" s="386"/>
      <c r="AA284" s="386"/>
      <c r="AB284" s="386"/>
      <c r="AC284" s="386"/>
      <c r="AD284" s="386"/>
      <c r="AE284" s="386"/>
      <c r="AF284" s="384"/>
      <c r="AG284" s="384"/>
      <c r="AH284" s="431"/>
      <c r="AI284" s="384"/>
    </row>
    <row r="285" spans="1:27" ht="12.75">
      <c r="A285" s="367"/>
      <c r="B285" s="367"/>
      <c r="C285" s="372"/>
      <c r="D285" s="372"/>
      <c r="E285" s="372"/>
      <c r="F285" s="372"/>
      <c r="G285" s="55"/>
      <c r="H285" s="55"/>
      <c r="I285" s="383"/>
      <c r="J285" s="52"/>
      <c r="K285" s="52"/>
      <c r="L285" s="384"/>
      <c r="M285" s="384"/>
      <c r="N285" s="384"/>
      <c r="O285" s="384"/>
      <c r="P285" s="384"/>
      <c r="Q285" s="384"/>
      <c r="R285" s="384"/>
      <c r="S285" s="384"/>
      <c r="T285" s="385"/>
      <c r="U285" s="385"/>
      <c r="V285" s="385"/>
      <c r="W285" s="385"/>
      <c r="X285" s="386"/>
      <c r="Y285" s="386"/>
      <c r="Z285" s="386"/>
      <c r="AA285" s="386"/>
    </row>
  </sheetData>
  <sheetProtection/>
  <mergeCells count="237">
    <mergeCell ref="A1:X2"/>
    <mergeCell ref="A3:F3"/>
    <mergeCell ref="K3:X3"/>
    <mergeCell ref="A4:G4"/>
    <mergeCell ref="K4:X4"/>
    <mergeCell ref="W5:X5"/>
    <mergeCell ref="A7:X7"/>
    <mergeCell ref="A8:D8"/>
    <mergeCell ref="W9:X9"/>
    <mergeCell ref="W12:X12"/>
    <mergeCell ref="A14:X14"/>
    <mergeCell ref="A17:X17"/>
    <mergeCell ref="E18:G18"/>
    <mergeCell ref="T18:V18"/>
    <mergeCell ref="E19:F19"/>
    <mergeCell ref="T19:V19"/>
    <mergeCell ref="W19:X19"/>
    <mergeCell ref="E20:T20"/>
    <mergeCell ref="A23:X23"/>
    <mergeCell ref="K24:T24"/>
    <mergeCell ref="C25:I25"/>
    <mergeCell ref="B26:I26"/>
    <mergeCell ref="C27:I27"/>
    <mergeCell ref="C28:I28"/>
    <mergeCell ref="B29:I29"/>
    <mergeCell ref="B30:I30"/>
    <mergeCell ref="C31:I31"/>
    <mergeCell ref="C32:I32"/>
    <mergeCell ref="C33:I33"/>
    <mergeCell ref="B34:I34"/>
    <mergeCell ref="C35:I35"/>
    <mergeCell ref="C36:I36"/>
    <mergeCell ref="C37:I37"/>
    <mergeCell ref="C38:I38"/>
    <mergeCell ref="C39:I39"/>
    <mergeCell ref="B40:I40"/>
    <mergeCell ref="B41:I41"/>
    <mergeCell ref="C42:I42"/>
    <mergeCell ref="C43:I43"/>
    <mergeCell ref="B44:I44"/>
    <mergeCell ref="C45:I45"/>
    <mergeCell ref="C46:I46"/>
    <mergeCell ref="C47:I47"/>
    <mergeCell ref="C48:I48"/>
    <mergeCell ref="C49:I49"/>
    <mergeCell ref="B50:I50"/>
    <mergeCell ref="B51:I51"/>
    <mergeCell ref="C52:I52"/>
    <mergeCell ref="C53:I53"/>
    <mergeCell ref="C54:I54"/>
    <mergeCell ref="C55:I55"/>
    <mergeCell ref="C56:I56"/>
    <mergeCell ref="B57:I57"/>
    <mergeCell ref="C58:I58"/>
    <mergeCell ref="C59:I59"/>
    <mergeCell ref="C60:I60"/>
    <mergeCell ref="C61:I61"/>
    <mergeCell ref="C62:I62"/>
    <mergeCell ref="C63:I63"/>
    <mergeCell ref="C64:I64"/>
    <mergeCell ref="C66:I66"/>
    <mergeCell ref="C67:I67"/>
    <mergeCell ref="C68:I68"/>
    <mergeCell ref="C69:I69"/>
    <mergeCell ref="C70:I70"/>
    <mergeCell ref="C71:I71"/>
    <mergeCell ref="B72:I72"/>
    <mergeCell ref="C73:I73"/>
    <mergeCell ref="C74:I74"/>
    <mergeCell ref="C75:I75"/>
    <mergeCell ref="B76:I76"/>
    <mergeCell ref="C77:I77"/>
    <mergeCell ref="C78:I78"/>
    <mergeCell ref="C79:I79"/>
    <mergeCell ref="C80:I80"/>
    <mergeCell ref="C81:I81"/>
    <mergeCell ref="C82:I82"/>
    <mergeCell ref="B83:I83"/>
    <mergeCell ref="C84:I84"/>
    <mergeCell ref="C85:I85"/>
    <mergeCell ref="C86:I86"/>
    <mergeCell ref="C87:I87"/>
    <mergeCell ref="C88:I88"/>
    <mergeCell ref="C89:I89"/>
    <mergeCell ref="C90:I90"/>
    <mergeCell ref="C91:I91"/>
    <mergeCell ref="C92:I92"/>
    <mergeCell ref="C93:I93"/>
    <mergeCell ref="C94:I94"/>
    <mergeCell ref="C95:I95"/>
    <mergeCell ref="C96:I96"/>
    <mergeCell ref="C97:I97"/>
    <mergeCell ref="C98:I98"/>
    <mergeCell ref="C99:I99"/>
    <mergeCell ref="C100:I100"/>
    <mergeCell ref="C101:I101"/>
    <mergeCell ref="C102:I102"/>
    <mergeCell ref="C103:I103"/>
    <mergeCell ref="C104:I104"/>
    <mergeCell ref="C105:I105"/>
    <mergeCell ref="C106:I106"/>
    <mergeCell ref="C107:I107"/>
    <mergeCell ref="C108:I108"/>
    <mergeCell ref="C109:I109"/>
    <mergeCell ref="B110:I110"/>
    <mergeCell ref="C111:I111"/>
    <mergeCell ref="C112:I112"/>
    <mergeCell ref="C113:I113"/>
    <mergeCell ref="C114:I114"/>
    <mergeCell ref="C115:I115"/>
    <mergeCell ref="C116:I116"/>
    <mergeCell ref="C117:I117"/>
    <mergeCell ref="C118:I118"/>
    <mergeCell ref="C119:I119"/>
    <mergeCell ref="C120:I120"/>
    <mergeCell ref="C121:I121"/>
    <mergeCell ref="C122:I122"/>
    <mergeCell ref="C123:I123"/>
    <mergeCell ref="C124:I124"/>
    <mergeCell ref="C125:I125"/>
    <mergeCell ref="C126:I126"/>
    <mergeCell ref="C127:I127"/>
    <mergeCell ref="C128:I128"/>
    <mergeCell ref="C129:I129"/>
    <mergeCell ref="C130:I130"/>
    <mergeCell ref="C131:I131"/>
    <mergeCell ref="B132:I132"/>
    <mergeCell ref="C133:I133"/>
    <mergeCell ref="C134:I134"/>
    <mergeCell ref="C135:I135"/>
    <mergeCell ref="C136:I136"/>
    <mergeCell ref="C137:I137"/>
    <mergeCell ref="C138:I138"/>
    <mergeCell ref="C139:I139"/>
    <mergeCell ref="C140:I140"/>
    <mergeCell ref="B141:I141"/>
    <mergeCell ref="C142:I142"/>
    <mergeCell ref="C143:I143"/>
    <mergeCell ref="C144:I144"/>
    <mergeCell ref="C145:I145"/>
    <mergeCell ref="C146:I146"/>
    <mergeCell ref="C147:I147"/>
    <mergeCell ref="C148:I148"/>
    <mergeCell ref="C149:I149"/>
    <mergeCell ref="C150:I150"/>
    <mergeCell ref="C151:I151"/>
    <mergeCell ref="C152:I152"/>
    <mergeCell ref="C153:I153"/>
    <mergeCell ref="C154:I154"/>
    <mergeCell ref="B155:I155"/>
    <mergeCell ref="C156:I156"/>
    <mergeCell ref="C157:I157"/>
    <mergeCell ref="A160:F160"/>
    <mergeCell ref="G160:H160"/>
    <mergeCell ref="A161:F161"/>
    <mergeCell ref="G161:H161"/>
    <mergeCell ref="A162:F162"/>
    <mergeCell ref="G162:H162"/>
    <mergeCell ref="A169:X169"/>
    <mergeCell ref="A171:X171"/>
    <mergeCell ref="A173:X173"/>
    <mergeCell ref="A175:X175"/>
    <mergeCell ref="A181:X181"/>
    <mergeCell ref="A182:X182"/>
    <mergeCell ref="A183:X183"/>
    <mergeCell ref="A184:X184"/>
    <mergeCell ref="A185:X185"/>
    <mergeCell ref="A186:X186"/>
    <mergeCell ref="A188:X188"/>
    <mergeCell ref="G189:H189"/>
    <mergeCell ref="A190:F191"/>
    <mergeCell ref="T190:W190"/>
    <mergeCell ref="T192:W193"/>
    <mergeCell ref="K193:K194"/>
    <mergeCell ref="X193:X194"/>
    <mergeCell ref="T194:W195"/>
    <mergeCell ref="A195:F195"/>
    <mergeCell ref="T197:W198"/>
    <mergeCell ref="K198:K199"/>
    <mergeCell ref="X198:X199"/>
    <mergeCell ref="T199:W200"/>
    <mergeCell ref="G202:I202"/>
    <mergeCell ref="K202:W202"/>
    <mergeCell ref="G203:I203"/>
    <mergeCell ref="K203:W203"/>
    <mergeCell ref="A204:X204"/>
    <mergeCell ref="A205:A206"/>
    <mergeCell ref="B205:G206"/>
    <mergeCell ref="H205:H206"/>
    <mergeCell ref="I205:J205"/>
    <mergeCell ref="K205:T205"/>
    <mergeCell ref="U205:V205"/>
    <mergeCell ref="W205:X205"/>
    <mergeCell ref="AF205:AG205"/>
    <mergeCell ref="AH205:AI205"/>
    <mergeCell ref="B207:G207"/>
    <mergeCell ref="B208:G208"/>
    <mergeCell ref="B209:G209"/>
    <mergeCell ref="B210:G210"/>
    <mergeCell ref="B211:G211"/>
    <mergeCell ref="B212:G212"/>
    <mergeCell ref="B213:G213"/>
    <mergeCell ref="B214:G214"/>
    <mergeCell ref="B215:G215"/>
    <mergeCell ref="B217:G217"/>
    <mergeCell ref="B218:D220"/>
    <mergeCell ref="F219:G219"/>
    <mergeCell ref="I219:J219"/>
    <mergeCell ref="K219:T219"/>
    <mergeCell ref="U219:V219"/>
    <mergeCell ref="W219:X219"/>
    <mergeCell ref="AF219:AG219"/>
    <mergeCell ref="AH219:AI219"/>
    <mergeCell ref="F220:G220"/>
    <mergeCell ref="I220:J220"/>
    <mergeCell ref="K220:T220"/>
    <mergeCell ref="U220:V220"/>
    <mergeCell ref="W220:X220"/>
    <mergeCell ref="AF220:AG220"/>
    <mergeCell ref="AH220:AI220"/>
    <mergeCell ref="A222:X222"/>
    <mergeCell ref="A223:A224"/>
    <mergeCell ref="B223:G224"/>
    <mergeCell ref="H223:H224"/>
    <mergeCell ref="I223:J223"/>
    <mergeCell ref="K223:T223"/>
    <mergeCell ref="U223:V223"/>
    <mergeCell ref="A259:G259"/>
    <mergeCell ref="H261:I261"/>
    <mergeCell ref="E263:U263"/>
    <mergeCell ref="A265:G265"/>
    <mergeCell ref="A236:F236"/>
    <mergeCell ref="A237:F237"/>
    <mergeCell ref="E251:U251"/>
    <mergeCell ref="A253:G253"/>
    <mergeCell ref="H255:I255"/>
    <mergeCell ref="E257:U257"/>
  </mergeCells>
  <conditionalFormatting sqref="J207:J217 T207:T217 V207:V217 X207:AA217">
    <cfRule type="cellIs" priority="1" dxfId="0" operator="equal" stopIfTrue="1">
      <formula>0</formula>
    </cfRule>
  </conditionalFormatting>
  <printOptions/>
  <pageMargins left="0.23622047244094488" right="0.23622047244094488" top="0.7480314960629921" bottom="0.7480314960629921" header="0.31496062992125984" footer="0.31496062992125984"/>
  <pageSetup fitToHeight="0" fitToWidth="1" horizontalDpi="1200" verticalDpi="1200" orientation="landscape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7">
    <pageSetUpPr fitToPage="1"/>
  </sheetPr>
  <dimension ref="A1:T250"/>
  <sheetViews>
    <sheetView zoomScale="160" zoomScaleNormal="160" zoomScalePageLayoutView="0" workbookViewId="0" topLeftCell="A1">
      <pane ySplit="1" topLeftCell="A5" activePane="bottomLeft" state="frozen"/>
      <selection pane="topLeft" activeCell="A1" sqref="A1"/>
      <selection pane="bottomLeft" activeCell="M208" sqref="M208"/>
    </sheetView>
  </sheetViews>
  <sheetFormatPr defaultColWidth="9.140625" defaultRowHeight="12.75"/>
  <cols>
    <col min="2" max="2" width="11.57421875" style="0" bestFit="1" customWidth="1"/>
  </cols>
  <sheetData>
    <row r="1" spans="1:11" ht="12.75">
      <c r="A1" s="81" t="s">
        <v>60</v>
      </c>
      <c r="B1" s="81" t="s">
        <v>104</v>
      </c>
      <c r="C1" s="719" t="s">
        <v>59</v>
      </c>
      <c r="D1" s="719"/>
      <c r="E1" s="719"/>
      <c r="F1" s="719"/>
      <c r="G1" s="719"/>
      <c r="H1" s="719"/>
      <c r="I1" s="719"/>
      <c r="J1" s="81" t="s">
        <v>1</v>
      </c>
      <c r="K1" s="81" t="s">
        <v>2</v>
      </c>
    </row>
    <row r="2" spans="1:11" ht="12.75">
      <c r="A2" s="134" t="s">
        <v>57</v>
      </c>
      <c r="B2" s="663" t="s">
        <v>125</v>
      </c>
      <c r="C2" s="664"/>
      <c r="D2" s="664"/>
      <c r="E2" s="664"/>
      <c r="F2" s="664"/>
      <c r="G2" s="664"/>
      <c r="H2" s="664"/>
      <c r="I2" s="664"/>
      <c r="J2" s="664"/>
      <c r="K2" s="665"/>
    </row>
    <row r="3" spans="1:11" s="138" customFormat="1" ht="12.75">
      <c r="A3" s="136" t="s">
        <v>58</v>
      </c>
      <c r="B3" s="136" t="s">
        <v>127</v>
      </c>
      <c r="C3" s="720" t="s">
        <v>126</v>
      </c>
      <c r="D3" s="720"/>
      <c r="E3" s="720"/>
      <c r="F3" s="720"/>
      <c r="G3" s="720"/>
      <c r="H3" s="720"/>
      <c r="I3" s="720"/>
      <c r="J3" s="137">
        <v>2.5</v>
      </c>
      <c r="K3" s="137" t="s">
        <v>63</v>
      </c>
    </row>
    <row r="4" spans="1:11" ht="12.75">
      <c r="A4" s="721" t="s">
        <v>397</v>
      </c>
      <c r="B4" s="721"/>
      <c r="C4" s="721"/>
      <c r="D4" s="721"/>
      <c r="E4" s="721"/>
      <c r="F4" s="721"/>
      <c r="G4" s="721"/>
      <c r="H4" s="721"/>
      <c r="I4" s="721"/>
      <c r="J4" s="721"/>
      <c r="K4" s="721"/>
    </row>
    <row r="5" spans="1:11" s="138" customFormat="1" ht="12.75">
      <c r="A5" s="136" t="s">
        <v>398</v>
      </c>
      <c r="B5" s="136" t="s">
        <v>128</v>
      </c>
      <c r="C5" s="722" t="s">
        <v>129</v>
      </c>
      <c r="D5" s="722"/>
      <c r="E5" s="722"/>
      <c r="F5" s="722"/>
      <c r="G5" s="722"/>
      <c r="H5" s="722"/>
      <c r="I5" s="722"/>
      <c r="J5" s="137">
        <v>8330</v>
      </c>
      <c r="K5" s="137" t="s">
        <v>63</v>
      </c>
    </row>
    <row r="6" spans="1:11" s="65" customFormat="1" ht="12.75">
      <c r="A6" s="723" t="s">
        <v>403</v>
      </c>
      <c r="B6" s="723"/>
      <c r="C6" s="723"/>
      <c r="D6" s="723"/>
      <c r="E6" s="723"/>
      <c r="F6" s="723"/>
      <c r="G6" s="723"/>
      <c r="H6" s="723"/>
      <c r="I6" s="723"/>
      <c r="J6" s="723"/>
      <c r="K6" s="723"/>
    </row>
    <row r="7" spans="1:11" s="138" customFormat="1" ht="12.75" customHeight="1">
      <c r="A7" s="136" t="s">
        <v>399</v>
      </c>
      <c r="B7" s="136" t="s">
        <v>296</v>
      </c>
      <c r="C7" s="730" t="s">
        <v>295</v>
      </c>
      <c r="D7" s="731"/>
      <c r="E7" s="731"/>
      <c r="F7" s="731"/>
      <c r="G7" s="731"/>
      <c r="H7" s="731"/>
      <c r="I7" s="732"/>
      <c r="J7" s="137">
        <v>1</v>
      </c>
      <c r="K7" s="137" t="s">
        <v>114</v>
      </c>
    </row>
    <row r="8" spans="1:11" ht="12.75">
      <c r="A8" s="718" t="s">
        <v>402</v>
      </c>
      <c r="B8" s="699"/>
      <c r="C8" s="699"/>
      <c r="D8" s="699"/>
      <c r="E8" s="699"/>
      <c r="F8" s="699"/>
      <c r="G8" s="699"/>
      <c r="H8" s="699"/>
      <c r="I8" s="699"/>
      <c r="J8" s="699"/>
      <c r="K8" s="700"/>
    </row>
    <row r="9" spans="1:11" s="138" customFormat="1" ht="18.75" customHeight="1">
      <c r="A9" s="136" t="s">
        <v>400</v>
      </c>
      <c r="B9" s="139" t="s">
        <v>167</v>
      </c>
      <c r="C9" s="704" t="s">
        <v>166</v>
      </c>
      <c r="D9" s="705"/>
      <c r="E9" s="705"/>
      <c r="F9" s="705"/>
      <c r="G9" s="705"/>
      <c r="H9" s="705"/>
      <c r="I9" s="706"/>
      <c r="J9" s="140">
        <v>1</v>
      </c>
      <c r="K9" s="141" t="s">
        <v>114</v>
      </c>
    </row>
    <row r="10" spans="1:11" ht="12.75">
      <c r="A10" s="718" t="s">
        <v>401</v>
      </c>
      <c r="B10" s="699"/>
      <c r="C10" s="699"/>
      <c r="D10" s="699"/>
      <c r="E10" s="699"/>
      <c r="F10" s="699"/>
      <c r="G10" s="699"/>
      <c r="H10" s="699"/>
      <c r="I10" s="699"/>
      <c r="J10" s="699"/>
      <c r="K10" s="700"/>
    </row>
    <row r="11" spans="1:11" ht="12.75">
      <c r="A11" s="98" t="s">
        <v>61</v>
      </c>
      <c r="B11" s="725" t="s">
        <v>102</v>
      </c>
      <c r="C11" s="726"/>
      <c r="D11" s="726"/>
      <c r="E11" s="726"/>
      <c r="F11" s="726"/>
      <c r="G11" s="726"/>
      <c r="H11" s="726"/>
      <c r="I11" s="726"/>
      <c r="J11" s="726"/>
      <c r="K11" s="727"/>
    </row>
    <row r="12" spans="1:11" ht="12.75">
      <c r="A12" s="104" t="s">
        <v>62</v>
      </c>
      <c r="B12" s="685" t="s">
        <v>107</v>
      </c>
      <c r="C12" s="686"/>
      <c r="D12" s="686"/>
      <c r="E12" s="686"/>
      <c r="F12" s="686"/>
      <c r="G12" s="686"/>
      <c r="H12" s="686"/>
      <c r="I12" s="686"/>
      <c r="J12" s="686"/>
      <c r="K12" s="687"/>
    </row>
    <row r="13" spans="1:11" s="138" customFormat="1" ht="12.75">
      <c r="A13" s="142" t="s">
        <v>116</v>
      </c>
      <c r="B13" s="139" t="s">
        <v>214</v>
      </c>
      <c r="C13" s="713" t="s">
        <v>106</v>
      </c>
      <c r="D13" s="713"/>
      <c r="E13" s="713"/>
      <c r="F13" s="713"/>
      <c r="G13" s="713"/>
      <c r="H13" s="713"/>
      <c r="I13" s="713"/>
      <c r="J13" s="143">
        <v>1501.01</v>
      </c>
      <c r="K13" s="141" t="s">
        <v>63</v>
      </c>
    </row>
    <row r="14" spans="1:11" ht="12.75">
      <c r="A14" s="692" t="s">
        <v>423</v>
      </c>
      <c r="B14" s="692"/>
      <c r="C14" s="692"/>
      <c r="D14" s="692"/>
      <c r="E14" s="692"/>
      <c r="F14" s="692"/>
      <c r="G14" s="692"/>
      <c r="H14" s="692"/>
      <c r="I14" s="692"/>
      <c r="J14" s="692"/>
      <c r="K14" s="692"/>
    </row>
    <row r="15" spans="1:13" s="138" customFormat="1" ht="18" customHeight="1">
      <c r="A15" s="142" t="s">
        <v>117</v>
      </c>
      <c r="B15" s="139" t="s">
        <v>105</v>
      </c>
      <c r="C15" s="713" t="s">
        <v>103</v>
      </c>
      <c r="D15" s="713"/>
      <c r="E15" s="713"/>
      <c r="F15" s="713"/>
      <c r="G15" s="713"/>
      <c r="H15" s="713"/>
      <c r="I15" s="713"/>
      <c r="J15" s="143">
        <v>1120.19</v>
      </c>
      <c r="K15" s="141" t="s">
        <v>63</v>
      </c>
      <c r="M15" s="198"/>
    </row>
    <row r="16" spans="1:11" ht="18" customHeight="1">
      <c r="A16" s="733" t="s">
        <v>439</v>
      </c>
      <c r="B16" s="734"/>
      <c r="C16" s="734"/>
      <c r="D16" s="734"/>
      <c r="E16" s="734"/>
      <c r="F16" s="734"/>
      <c r="G16" s="734"/>
      <c r="H16" s="734"/>
      <c r="I16" s="734"/>
      <c r="J16" s="734"/>
      <c r="K16" s="735"/>
    </row>
    <row r="17" spans="1:11" s="138" customFormat="1" ht="18" customHeight="1">
      <c r="A17" s="142" t="s">
        <v>305</v>
      </c>
      <c r="B17" s="139" t="s">
        <v>306</v>
      </c>
      <c r="C17" s="713" t="s">
        <v>307</v>
      </c>
      <c r="D17" s="713"/>
      <c r="E17" s="713"/>
      <c r="F17" s="713"/>
      <c r="G17" s="713"/>
      <c r="H17" s="713"/>
      <c r="I17" s="713"/>
      <c r="J17" s="137">
        <v>380.82</v>
      </c>
      <c r="K17" s="140" t="s">
        <v>63</v>
      </c>
    </row>
    <row r="18" spans="1:11" ht="12.75">
      <c r="A18" s="692" t="s">
        <v>422</v>
      </c>
      <c r="B18" s="692"/>
      <c r="C18" s="692"/>
      <c r="D18" s="692"/>
      <c r="E18" s="692"/>
      <c r="F18" s="692"/>
      <c r="G18" s="692"/>
      <c r="H18" s="692"/>
      <c r="I18" s="692"/>
      <c r="J18" s="692"/>
      <c r="K18" s="692"/>
    </row>
    <row r="19" spans="1:11" ht="12.75">
      <c r="A19" s="104" t="s">
        <v>118</v>
      </c>
      <c r="B19" s="662" t="s">
        <v>108</v>
      </c>
      <c r="C19" s="662"/>
      <c r="D19" s="662"/>
      <c r="E19" s="662"/>
      <c r="F19" s="662"/>
      <c r="G19" s="662"/>
      <c r="H19" s="662"/>
      <c r="I19" s="662"/>
      <c r="J19" s="105"/>
      <c r="K19" s="105"/>
    </row>
    <row r="20" spans="1:13" s="138" customFormat="1" ht="12.75">
      <c r="A20" s="139" t="s">
        <v>119</v>
      </c>
      <c r="B20" s="139" t="s">
        <v>542</v>
      </c>
      <c r="C20" s="713" t="s">
        <v>109</v>
      </c>
      <c r="D20" s="713"/>
      <c r="E20" s="713"/>
      <c r="F20" s="713"/>
      <c r="G20" s="713"/>
      <c r="H20" s="713"/>
      <c r="I20" s="713"/>
      <c r="J20" s="137">
        <v>2.94</v>
      </c>
      <c r="K20" s="140" t="s">
        <v>64</v>
      </c>
      <c r="M20" s="138">
        <f>7.07*0.12*0.2+2.66*0.12*0.2+18.1*0.12*0.2+16.67*0.12*0.2+9.02*0.12*0.2+7.08*0.12*0.2+62*0.12*0.2</f>
        <v>2.9424</v>
      </c>
    </row>
    <row r="21" spans="1:11" ht="12.75">
      <c r="A21" s="692" t="s">
        <v>549</v>
      </c>
      <c r="B21" s="692"/>
      <c r="C21" s="692"/>
      <c r="D21" s="692"/>
      <c r="E21" s="692"/>
      <c r="F21" s="692"/>
      <c r="G21" s="692"/>
      <c r="H21" s="692"/>
      <c r="I21" s="692"/>
      <c r="J21" s="692"/>
      <c r="K21" s="692"/>
    </row>
    <row r="22" spans="1:11" s="138" customFormat="1" ht="20.25" customHeight="1">
      <c r="A22" s="139" t="s">
        <v>120</v>
      </c>
      <c r="B22" s="139" t="s">
        <v>216</v>
      </c>
      <c r="C22" s="713" t="s">
        <v>215</v>
      </c>
      <c r="D22" s="713"/>
      <c r="E22" s="713"/>
      <c r="F22" s="713"/>
      <c r="G22" s="713"/>
      <c r="H22" s="713"/>
      <c r="I22" s="713"/>
      <c r="J22" s="137">
        <v>59.38</v>
      </c>
      <c r="K22" s="140" t="s">
        <v>66</v>
      </c>
    </row>
    <row r="23" spans="1:13" ht="12.75">
      <c r="A23" s="692" t="s">
        <v>538</v>
      </c>
      <c r="B23" s="692"/>
      <c r="C23" s="692"/>
      <c r="D23" s="692"/>
      <c r="E23" s="692"/>
      <c r="F23" s="692"/>
      <c r="G23" s="692"/>
      <c r="H23" s="692"/>
      <c r="I23" s="692"/>
      <c r="J23" s="692"/>
      <c r="K23" s="692"/>
      <c r="M23">
        <f>((7.07+2.66+18.1+16.67+9.02+7.08)*4)*0.245</f>
        <v>59.38799999999999</v>
      </c>
    </row>
    <row r="24" spans="1:11" s="149" customFormat="1" ht="16.5" customHeight="1">
      <c r="A24" s="144" t="s">
        <v>121</v>
      </c>
      <c r="B24" s="250" t="s">
        <v>320</v>
      </c>
      <c r="C24" s="696" t="s">
        <v>318</v>
      </c>
      <c r="D24" s="697"/>
      <c r="E24" s="697"/>
      <c r="F24" s="697"/>
      <c r="G24" s="697"/>
      <c r="H24" s="697"/>
      <c r="I24" s="698"/>
      <c r="J24" s="147">
        <f>((7.07+2.66+18.1+16.67+9.02+7.08)/0.2)*0.53</f>
        <v>160.58999999999997</v>
      </c>
      <c r="K24" s="148" t="s">
        <v>66</v>
      </c>
    </row>
    <row r="25" spans="1:14" ht="12.75">
      <c r="A25" s="692" t="s">
        <v>545</v>
      </c>
      <c r="B25" s="692"/>
      <c r="C25" s="692"/>
      <c r="D25" s="692"/>
      <c r="E25" s="692"/>
      <c r="F25" s="692"/>
      <c r="G25" s="692"/>
      <c r="H25" s="692"/>
      <c r="I25" s="692"/>
      <c r="J25" s="692"/>
      <c r="K25" s="692"/>
      <c r="M25">
        <f>((7.07+2.66+18.1+16.67+9.02+7.08)/0.2)*0.53</f>
        <v>160.58999999999997</v>
      </c>
      <c r="N25">
        <f>0.16*2+0.08*2+0.05</f>
        <v>0.53</v>
      </c>
    </row>
    <row r="26" spans="1:11" s="149" customFormat="1" ht="12.75">
      <c r="A26" s="144" t="s">
        <v>121</v>
      </c>
      <c r="B26" s="145" t="s">
        <v>112</v>
      </c>
      <c r="C26" s="717" t="s">
        <v>111</v>
      </c>
      <c r="D26" s="717"/>
      <c r="E26" s="717"/>
      <c r="F26" s="717"/>
      <c r="G26" s="717"/>
      <c r="H26" s="717"/>
      <c r="I26" s="717"/>
      <c r="J26" s="147">
        <v>24.24</v>
      </c>
      <c r="K26" s="148" t="s">
        <v>63</v>
      </c>
    </row>
    <row r="27" spans="1:13" ht="12.75">
      <c r="A27" s="692" t="s">
        <v>544</v>
      </c>
      <c r="B27" s="692"/>
      <c r="C27" s="692"/>
      <c r="D27" s="692"/>
      <c r="E27" s="692"/>
      <c r="F27" s="692"/>
      <c r="G27" s="692"/>
      <c r="H27" s="692"/>
      <c r="I27" s="692"/>
      <c r="J27" s="692"/>
      <c r="K27" s="692"/>
      <c r="M27">
        <f>((7.07+2.66+18.1+16.67+9.02+7.08)*0.2)*2</f>
        <v>24.24</v>
      </c>
    </row>
    <row r="28" spans="1:11" s="149" customFormat="1" ht="12.75">
      <c r="A28" s="144" t="s">
        <v>289</v>
      </c>
      <c r="B28" s="150" t="s">
        <v>124</v>
      </c>
      <c r="C28" s="724" t="s">
        <v>123</v>
      </c>
      <c r="D28" s="724"/>
      <c r="E28" s="724"/>
      <c r="F28" s="724"/>
      <c r="G28" s="724"/>
      <c r="H28" s="724"/>
      <c r="I28" s="724"/>
      <c r="J28" s="148">
        <v>31.51</v>
      </c>
      <c r="K28" s="152" t="s">
        <v>63</v>
      </c>
    </row>
    <row r="29" spans="1:13" ht="12.75">
      <c r="A29" s="692" t="s">
        <v>404</v>
      </c>
      <c r="B29" s="692"/>
      <c r="C29" s="692"/>
      <c r="D29" s="692"/>
      <c r="E29" s="692"/>
      <c r="F29" s="692"/>
      <c r="G29" s="692"/>
      <c r="H29" s="692"/>
      <c r="I29" s="692"/>
      <c r="J29" s="692"/>
      <c r="K29" s="692"/>
      <c r="M29" s="135">
        <f>((7.07+2.66+18.1+16.67+9.02+7.08)*0.2)*2+((7.07+2.66+18.1+16.67+9.02+7.08)*0.12)</f>
        <v>31.511999999999997</v>
      </c>
    </row>
    <row r="30" spans="1:11" ht="12.75">
      <c r="A30" s="98" t="s">
        <v>302</v>
      </c>
      <c r="B30" s="663" t="s">
        <v>115</v>
      </c>
      <c r="C30" s="664"/>
      <c r="D30" s="664"/>
      <c r="E30" s="664"/>
      <c r="F30" s="664"/>
      <c r="G30" s="664"/>
      <c r="H30" s="664"/>
      <c r="I30" s="664"/>
      <c r="J30" s="664"/>
      <c r="K30" s="665"/>
    </row>
    <row r="31" spans="1:11" ht="12.75">
      <c r="A31" s="104" t="s">
        <v>303</v>
      </c>
      <c r="B31" s="685" t="s">
        <v>304</v>
      </c>
      <c r="C31" s="686"/>
      <c r="D31" s="686"/>
      <c r="E31" s="686"/>
      <c r="F31" s="686"/>
      <c r="G31" s="686"/>
      <c r="H31" s="686"/>
      <c r="I31" s="687"/>
      <c r="J31" s="105"/>
      <c r="K31" s="105"/>
    </row>
    <row r="32" spans="1:11" s="149" customFormat="1" ht="12.75">
      <c r="A32" s="144" t="s">
        <v>480</v>
      </c>
      <c r="B32" s="145" t="s">
        <v>214</v>
      </c>
      <c r="C32" s="691" t="s">
        <v>106</v>
      </c>
      <c r="D32" s="691"/>
      <c r="E32" s="691"/>
      <c r="F32" s="691"/>
      <c r="G32" s="691"/>
      <c r="H32" s="691"/>
      <c r="I32" s="691"/>
      <c r="J32" s="152">
        <v>1006.2</v>
      </c>
      <c r="K32" s="153" t="s">
        <v>63</v>
      </c>
    </row>
    <row r="33" spans="1:11" ht="12.75">
      <c r="A33" s="718" t="s">
        <v>405</v>
      </c>
      <c r="B33" s="699"/>
      <c r="C33" s="699"/>
      <c r="D33" s="699"/>
      <c r="E33" s="699"/>
      <c r="F33" s="699"/>
      <c r="G33" s="699"/>
      <c r="H33" s="699"/>
      <c r="I33" s="699"/>
      <c r="J33" s="699"/>
      <c r="K33" s="700"/>
    </row>
    <row r="34" spans="1:11" s="149" customFormat="1" ht="17.25" customHeight="1">
      <c r="A34" s="144" t="s">
        <v>481</v>
      </c>
      <c r="B34" s="145" t="s">
        <v>306</v>
      </c>
      <c r="C34" s="691" t="s">
        <v>307</v>
      </c>
      <c r="D34" s="691"/>
      <c r="E34" s="691"/>
      <c r="F34" s="691"/>
      <c r="G34" s="691"/>
      <c r="H34" s="691"/>
      <c r="I34" s="691"/>
      <c r="J34" s="147">
        <v>936</v>
      </c>
      <c r="K34" s="148" t="s">
        <v>63</v>
      </c>
    </row>
    <row r="35" spans="1:13" ht="12.75">
      <c r="A35" s="692" t="s">
        <v>483</v>
      </c>
      <c r="B35" s="692"/>
      <c r="C35" s="692"/>
      <c r="D35" s="692"/>
      <c r="E35" s="692"/>
      <c r="F35" s="692"/>
      <c r="G35" s="692"/>
      <c r="H35" s="692"/>
      <c r="I35" s="692"/>
      <c r="J35" s="692"/>
      <c r="K35" s="692"/>
      <c r="M35">
        <f>234*4</f>
        <v>936</v>
      </c>
    </row>
    <row r="36" spans="1:11" ht="12.75">
      <c r="A36" s="104" t="s">
        <v>308</v>
      </c>
      <c r="B36" s="662" t="s">
        <v>108</v>
      </c>
      <c r="C36" s="662"/>
      <c r="D36" s="662"/>
      <c r="E36" s="662"/>
      <c r="F36" s="662"/>
      <c r="G36" s="662"/>
      <c r="H36" s="662"/>
      <c r="I36" s="662"/>
      <c r="J36" s="105"/>
      <c r="K36" s="105"/>
    </row>
    <row r="37" spans="1:11" s="149" customFormat="1" ht="12.75">
      <c r="A37" s="144" t="s">
        <v>309</v>
      </c>
      <c r="B37" s="145" t="s">
        <v>542</v>
      </c>
      <c r="C37" s="691" t="s">
        <v>109</v>
      </c>
      <c r="D37" s="691"/>
      <c r="E37" s="691"/>
      <c r="F37" s="691"/>
      <c r="G37" s="691"/>
      <c r="H37" s="691"/>
      <c r="I37" s="691"/>
      <c r="J37" s="152">
        <v>16.84</v>
      </c>
      <c r="K37" s="148" t="s">
        <v>64</v>
      </c>
    </row>
    <row r="38" spans="1:13" ht="12.75">
      <c r="A38" s="692" t="s">
        <v>406</v>
      </c>
      <c r="B38" s="692"/>
      <c r="C38" s="692"/>
      <c r="D38" s="692"/>
      <c r="E38" s="692"/>
      <c r="F38" s="692"/>
      <c r="G38" s="692"/>
      <c r="H38" s="692"/>
      <c r="I38" s="692"/>
      <c r="J38" s="692"/>
      <c r="K38" s="692"/>
      <c r="M38">
        <f>234*3*0.12*0.2</f>
        <v>16.848</v>
      </c>
    </row>
    <row r="39" spans="1:13" s="149" customFormat="1" ht="20.25" customHeight="1">
      <c r="A39" s="144" t="s">
        <v>310</v>
      </c>
      <c r="B39" s="145" t="s">
        <v>216</v>
      </c>
      <c r="C39" s="691" t="s">
        <v>215</v>
      </c>
      <c r="D39" s="691"/>
      <c r="E39" s="691"/>
      <c r="F39" s="691"/>
      <c r="G39" s="691"/>
      <c r="H39" s="691"/>
      <c r="I39" s="691"/>
      <c r="J39" s="152">
        <v>687.96</v>
      </c>
      <c r="K39" s="148" t="s">
        <v>66</v>
      </c>
      <c r="M39" s="149">
        <f>(234*3*0.245)*4</f>
        <v>687.96</v>
      </c>
    </row>
    <row r="40" spans="1:11" ht="12.75">
      <c r="A40" s="692" t="s">
        <v>484</v>
      </c>
      <c r="B40" s="692"/>
      <c r="C40" s="692"/>
      <c r="D40" s="692"/>
      <c r="E40" s="692"/>
      <c r="F40" s="692"/>
      <c r="G40" s="692"/>
      <c r="H40" s="692"/>
      <c r="I40" s="692"/>
      <c r="J40" s="692"/>
      <c r="K40" s="692"/>
    </row>
    <row r="41" spans="1:13" s="149" customFormat="1" ht="19.5" customHeight="1">
      <c r="A41" s="144" t="s">
        <v>311</v>
      </c>
      <c r="B41" s="250" t="s">
        <v>320</v>
      </c>
      <c r="C41" s="696" t="s">
        <v>318</v>
      </c>
      <c r="D41" s="697"/>
      <c r="E41" s="697"/>
      <c r="F41" s="697"/>
      <c r="G41" s="697"/>
      <c r="H41" s="697"/>
      <c r="I41" s="698"/>
      <c r="J41" s="147">
        <v>95.49</v>
      </c>
      <c r="K41" s="148" t="s">
        <v>66</v>
      </c>
      <c r="M41" s="149">
        <f>((234/0.2)*0.53)*0.154</f>
        <v>95.4954</v>
      </c>
    </row>
    <row r="42" spans="1:11" ht="12.75">
      <c r="A42" s="699" t="s">
        <v>546</v>
      </c>
      <c r="B42" s="699"/>
      <c r="C42" s="699"/>
      <c r="D42" s="699"/>
      <c r="E42" s="699"/>
      <c r="F42" s="699"/>
      <c r="G42" s="699"/>
      <c r="H42" s="699"/>
      <c r="I42" s="699"/>
      <c r="J42" s="699"/>
      <c r="K42" s="700"/>
    </row>
    <row r="43" spans="1:11" s="149" customFormat="1" ht="12.75">
      <c r="A43" s="144" t="s">
        <v>482</v>
      </c>
      <c r="B43" s="145" t="s">
        <v>112</v>
      </c>
      <c r="C43" s="717" t="s">
        <v>111</v>
      </c>
      <c r="D43" s="717"/>
      <c r="E43" s="717"/>
      <c r="F43" s="717"/>
      <c r="G43" s="717"/>
      <c r="H43" s="717"/>
      <c r="I43" s="717"/>
      <c r="J43" s="147">
        <v>180.8</v>
      </c>
      <c r="K43" s="148" t="s">
        <v>63</v>
      </c>
    </row>
    <row r="44" spans="1:13" ht="12.75">
      <c r="A44" s="692" t="s">
        <v>548</v>
      </c>
      <c r="B44" s="692"/>
      <c r="C44" s="692"/>
      <c r="D44" s="692"/>
      <c r="E44" s="692"/>
      <c r="F44" s="692"/>
      <c r="G44" s="692"/>
      <c r="H44" s="692"/>
      <c r="I44" s="692"/>
      <c r="J44" s="692"/>
      <c r="K44" s="692"/>
      <c r="M44">
        <f>((234*3)*0.2)*2</f>
        <v>280.8</v>
      </c>
    </row>
    <row r="45" spans="1:11" s="149" customFormat="1" ht="12.75">
      <c r="A45" s="144" t="s">
        <v>547</v>
      </c>
      <c r="B45" s="150" t="s">
        <v>124</v>
      </c>
      <c r="C45" s="724" t="s">
        <v>123</v>
      </c>
      <c r="D45" s="724"/>
      <c r="E45" s="724"/>
      <c r="F45" s="724"/>
      <c r="G45" s="724"/>
      <c r="H45" s="724"/>
      <c r="I45" s="724"/>
      <c r="J45" s="148">
        <v>365.04</v>
      </c>
      <c r="K45" s="152" t="s">
        <v>63</v>
      </c>
    </row>
    <row r="46" spans="1:13" ht="12.75">
      <c r="A46" s="692" t="s">
        <v>407</v>
      </c>
      <c r="B46" s="692"/>
      <c r="C46" s="692"/>
      <c r="D46" s="692"/>
      <c r="E46" s="692"/>
      <c r="F46" s="692"/>
      <c r="G46" s="692"/>
      <c r="H46" s="692"/>
      <c r="I46" s="692"/>
      <c r="J46" s="692"/>
      <c r="K46" s="692"/>
      <c r="M46">
        <f>(234*0.12+(234*0.2)*2)*3</f>
        <v>365.04</v>
      </c>
    </row>
    <row r="47" spans="1:11" ht="12.75">
      <c r="A47" s="123">
        <v>4</v>
      </c>
      <c r="B47" s="663" t="s">
        <v>288</v>
      </c>
      <c r="C47" s="664"/>
      <c r="D47" s="664"/>
      <c r="E47" s="664"/>
      <c r="F47" s="664"/>
      <c r="G47" s="664"/>
      <c r="H47" s="664"/>
      <c r="I47" s="664"/>
      <c r="J47" s="664"/>
      <c r="K47" s="665"/>
    </row>
    <row r="48" spans="1:11" ht="12.75">
      <c r="A48" s="104" t="s">
        <v>323</v>
      </c>
      <c r="B48" s="685" t="s">
        <v>275</v>
      </c>
      <c r="C48" s="686"/>
      <c r="D48" s="686"/>
      <c r="E48" s="686"/>
      <c r="F48" s="686"/>
      <c r="G48" s="686"/>
      <c r="H48" s="686"/>
      <c r="I48" s="686"/>
      <c r="J48" s="686"/>
      <c r="K48" s="687"/>
    </row>
    <row r="49" spans="1:13" s="149" customFormat="1" ht="12.75">
      <c r="A49" s="144" t="s">
        <v>324</v>
      </c>
      <c r="B49" s="145" t="s">
        <v>214</v>
      </c>
      <c r="C49" s="691" t="s">
        <v>106</v>
      </c>
      <c r="D49" s="691"/>
      <c r="E49" s="691"/>
      <c r="F49" s="691"/>
      <c r="G49" s="691"/>
      <c r="H49" s="691"/>
      <c r="I49" s="691"/>
      <c r="J49" s="152">
        <v>1664</v>
      </c>
      <c r="K49" s="153" t="s">
        <v>63</v>
      </c>
      <c r="M49" s="149">
        <f>32*52</f>
        <v>1664</v>
      </c>
    </row>
    <row r="50" spans="1:11" ht="12.75">
      <c r="A50" s="692" t="s">
        <v>408</v>
      </c>
      <c r="B50" s="692"/>
      <c r="C50" s="692"/>
      <c r="D50" s="692"/>
      <c r="E50" s="692"/>
      <c r="F50" s="692"/>
      <c r="G50" s="692"/>
      <c r="H50" s="692"/>
      <c r="I50" s="692"/>
      <c r="J50" s="692"/>
      <c r="K50" s="692"/>
    </row>
    <row r="51" spans="1:11" s="149" customFormat="1" ht="18" customHeight="1">
      <c r="A51" s="144" t="s">
        <v>325</v>
      </c>
      <c r="B51" s="154" t="s">
        <v>113</v>
      </c>
      <c r="C51" s="696" t="s">
        <v>233</v>
      </c>
      <c r="D51" s="697"/>
      <c r="E51" s="697"/>
      <c r="F51" s="697"/>
      <c r="G51" s="697"/>
      <c r="H51" s="697"/>
      <c r="I51" s="698"/>
      <c r="J51" s="147">
        <v>1664</v>
      </c>
      <c r="K51" s="153" t="s">
        <v>63</v>
      </c>
    </row>
    <row r="52" spans="1:11" ht="12.75">
      <c r="A52" s="718" t="s">
        <v>408</v>
      </c>
      <c r="B52" s="699"/>
      <c r="C52" s="699"/>
      <c r="D52" s="699"/>
      <c r="E52" s="699"/>
      <c r="F52" s="699"/>
      <c r="G52" s="699"/>
      <c r="H52" s="699"/>
      <c r="I52" s="699"/>
      <c r="J52" s="699"/>
      <c r="K52" s="700"/>
    </row>
    <row r="53" spans="1:11" s="149" customFormat="1" ht="12.75" customHeight="1">
      <c r="A53" s="144" t="s">
        <v>326</v>
      </c>
      <c r="B53" s="199" t="s">
        <v>571</v>
      </c>
      <c r="C53" s="691" t="s">
        <v>572</v>
      </c>
      <c r="D53" s="697"/>
      <c r="E53" s="697"/>
      <c r="F53" s="697"/>
      <c r="G53" s="697"/>
      <c r="H53" s="697"/>
      <c r="I53" s="698"/>
      <c r="J53" s="147">
        <v>1664</v>
      </c>
      <c r="K53" s="153" t="s">
        <v>63</v>
      </c>
    </row>
    <row r="54" spans="1:11" ht="12.75">
      <c r="A54" s="692" t="s">
        <v>408</v>
      </c>
      <c r="B54" s="692"/>
      <c r="C54" s="692"/>
      <c r="D54" s="692"/>
      <c r="E54" s="692"/>
      <c r="F54" s="692"/>
      <c r="G54" s="692"/>
      <c r="H54" s="692"/>
      <c r="I54" s="692"/>
      <c r="J54" s="692"/>
      <c r="K54" s="692"/>
    </row>
    <row r="55" spans="1:11" s="149" customFormat="1" ht="18" customHeight="1">
      <c r="A55" s="144" t="s">
        <v>327</v>
      </c>
      <c r="B55" s="200" t="s">
        <v>135</v>
      </c>
      <c r="C55" s="696" t="s">
        <v>474</v>
      </c>
      <c r="D55" s="697"/>
      <c r="E55" s="697"/>
      <c r="F55" s="697"/>
      <c r="G55" s="697"/>
      <c r="H55" s="697"/>
      <c r="I55" s="698"/>
      <c r="J55" s="147">
        <v>1500</v>
      </c>
      <c r="K55" s="148" t="s">
        <v>63</v>
      </c>
    </row>
    <row r="56" spans="1:14" ht="12.75">
      <c r="A56" s="692" t="s">
        <v>478</v>
      </c>
      <c r="B56" s="692"/>
      <c r="C56" s="692"/>
      <c r="D56" s="692"/>
      <c r="E56" s="692"/>
      <c r="F56" s="692"/>
      <c r="G56" s="692"/>
      <c r="H56" s="692"/>
      <c r="I56" s="692"/>
      <c r="J56" s="692"/>
      <c r="K56" s="692"/>
      <c r="N56">
        <f>50*30</f>
        <v>1500</v>
      </c>
    </row>
    <row r="57" spans="1:11" s="149" customFormat="1" ht="29.25" customHeight="1">
      <c r="A57" s="144" t="s">
        <v>328</v>
      </c>
      <c r="B57" s="154" t="s">
        <v>487</v>
      </c>
      <c r="C57" s="691" t="s">
        <v>241</v>
      </c>
      <c r="D57" s="691"/>
      <c r="E57" s="691"/>
      <c r="F57" s="691"/>
      <c r="G57" s="691"/>
      <c r="H57" s="691"/>
      <c r="I57" s="691"/>
      <c r="J57" s="147">
        <v>1</v>
      </c>
      <c r="K57" s="153" t="s">
        <v>114</v>
      </c>
    </row>
    <row r="58" spans="1:11" ht="12.75">
      <c r="A58" s="692" t="s">
        <v>413</v>
      </c>
      <c r="B58" s="692"/>
      <c r="C58" s="692"/>
      <c r="D58" s="692"/>
      <c r="E58" s="692"/>
      <c r="F58" s="692"/>
      <c r="G58" s="692"/>
      <c r="H58" s="692"/>
      <c r="I58" s="692"/>
      <c r="J58" s="692"/>
      <c r="K58" s="692"/>
    </row>
    <row r="59" spans="1:11" ht="12.75">
      <c r="A59" s="104" t="s">
        <v>329</v>
      </c>
      <c r="B59" s="685" t="s">
        <v>226</v>
      </c>
      <c r="C59" s="686"/>
      <c r="D59" s="686"/>
      <c r="E59" s="686"/>
      <c r="F59" s="686"/>
      <c r="G59" s="686"/>
      <c r="H59" s="686"/>
      <c r="I59" s="686"/>
      <c r="J59" s="686"/>
      <c r="K59" s="687"/>
    </row>
    <row r="60" spans="1:11" s="149" customFormat="1" ht="12.75">
      <c r="A60" s="144" t="s">
        <v>330</v>
      </c>
      <c r="B60" s="145" t="s">
        <v>228</v>
      </c>
      <c r="C60" s="717" t="s">
        <v>227</v>
      </c>
      <c r="D60" s="717"/>
      <c r="E60" s="717"/>
      <c r="F60" s="717"/>
      <c r="G60" s="717"/>
      <c r="H60" s="717"/>
      <c r="I60" s="717"/>
      <c r="J60" s="147">
        <v>6</v>
      </c>
      <c r="K60" s="148" t="s">
        <v>114</v>
      </c>
    </row>
    <row r="61" spans="1:11" ht="12.75">
      <c r="A61" s="692" t="s">
        <v>414</v>
      </c>
      <c r="B61" s="692"/>
      <c r="C61" s="692"/>
      <c r="D61" s="692"/>
      <c r="E61" s="692"/>
      <c r="F61" s="692"/>
      <c r="G61" s="692"/>
      <c r="H61" s="692"/>
      <c r="I61" s="692"/>
      <c r="J61" s="692"/>
      <c r="K61" s="692"/>
    </row>
    <row r="62" spans="1:11" s="149" customFormat="1" ht="12.75">
      <c r="A62" s="144" t="s">
        <v>331</v>
      </c>
      <c r="B62" s="208" t="s">
        <v>499</v>
      </c>
      <c r="C62" s="701" t="s">
        <v>501</v>
      </c>
      <c r="D62" s="702"/>
      <c r="E62" s="702"/>
      <c r="F62" s="702"/>
      <c r="G62" s="702"/>
      <c r="H62" s="702"/>
      <c r="I62" s="703"/>
      <c r="J62" s="147">
        <v>0.11</v>
      </c>
      <c r="K62" s="148" t="s">
        <v>64</v>
      </c>
    </row>
    <row r="63" spans="1:13" ht="12.75">
      <c r="A63" s="699" t="s">
        <v>506</v>
      </c>
      <c r="B63" s="699"/>
      <c r="C63" s="699"/>
      <c r="D63" s="699"/>
      <c r="E63" s="699"/>
      <c r="F63" s="699"/>
      <c r="G63" s="699"/>
      <c r="H63" s="699"/>
      <c r="I63" s="699"/>
      <c r="J63" s="699"/>
      <c r="K63" s="700"/>
      <c r="M63" s="226">
        <f>0.6*0.6*0.05*6</f>
        <v>0.10799999999999998</v>
      </c>
    </row>
    <row r="64" spans="1:13" s="149" customFormat="1" ht="12.75">
      <c r="A64" s="144" t="s">
        <v>332</v>
      </c>
      <c r="B64" s="208" t="s">
        <v>502</v>
      </c>
      <c r="C64" s="701" t="s">
        <v>503</v>
      </c>
      <c r="D64" s="702"/>
      <c r="E64" s="702"/>
      <c r="F64" s="702"/>
      <c r="G64" s="702"/>
      <c r="H64" s="702"/>
      <c r="I64" s="703"/>
      <c r="J64" s="147">
        <v>1.29</v>
      </c>
      <c r="K64" s="148" t="s">
        <v>64</v>
      </c>
      <c r="M64" s="227"/>
    </row>
    <row r="65" spans="1:13" ht="12.75">
      <c r="A65" s="699" t="s">
        <v>505</v>
      </c>
      <c r="B65" s="699"/>
      <c r="C65" s="699"/>
      <c r="D65" s="699"/>
      <c r="E65" s="699"/>
      <c r="F65" s="699"/>
      <c r="G65" s="699"/>
      <c r="H65" s="699"/>
      <c r="I65" s="699"/>
      <c r="J65" s="699"/>
      <c r="K65" s="700"/>
      <c r="M65" s="226">
        <f>0.6*0.6*0.6*6</f>
        <v>1.296</v>
      </c>
    </row>
    <row r="66" spans="1:13" s="149" customFormat="1" ht="12.75">
      <c r="A66" s="144" t="s">
        <v>500</v>
      </c>
      <c r="B66" s="208" t="s">
        <v>542</v>
      </c>
      <c r="C66" s="691" t="s">
        <v>316</v>
      </c>
      <c r="D66" s="691"/>
      <c r="E66" s="691"/>
      <c r="F66" s="691"/>
      <c r="G66" s="691"/>
      <c r="H66" s="691"/>
      <c r="I66" s="691"/>
      <c r="J66" s="147">
        <v>1.29</v>
      </c>
      <c r="K66" s="148" t="s">
        <v>64</v>
      </c>
      <c r="M66" s="227"/>
    </row>
    <row r="67" spans="1:13" ht="12.75">
      <c r="A67" s="699" t="s">
        <v>505</v>
      </c>
      <c r="B67" s="699"/>
      <c r="C67" s="699"/>
      <c r="D67" s="699"/>
      <c r="E67" s="699"/>
      <c r="F67" s="699"/>
      <c r="G67" s="699"/>
      <c r="H67" s="699"/>
      <c r="I67" s="699"/>
      <c r="J67" s="699"/>
      <c r="K67" s="700"/>
      <c r="M67" s="226"/>
    </row>
    <row r="68" spans="1:13" ht="19.5" customHeight="1">
      <c r="A68" s="144" t="s">
        <v>504</v>
      </c>
      <c r="B68" s="253" t="s">
        <v>234</v>
      </c>
      <c r="C68" s="691" t="s">
        <v>235</v>
      </c>
      <c r="D68" s="691"/>
      <c r="E68" s="691"/>
      <c r="F68" s="691"/>
      <c r="G68" s="691"/>
      <c r="H68" s="691"/>
      <c r="I68" s="691"/>
      <c r="J68" s="148">
        <v>6</v>
      </c>
      <c r="K68" s="153" t="s">
        <v>114</v>
      </c>
      <c r="M68" s="226"/>
    </row>
    <row r="69" spans="1:13" ht="12.75">
      <c r="A69" s="692" t="s">
        <v>414</v>
      </c>
      <c r="B69" s="692"/>
      <c r="C69" s="692"/>
      <c r="D69" s="692"/>
      <c r="E69" s="692"/>
      <c r="F69" s="692"/>
      <c r="G69" s="692"/>
      <c r="H69" s="692"/>
      <c r="I69" s="692"/>
      <c r="J69" s="692"/>
      <c r="K69" s="692"/>
      <c r="M69" s="226"/>
    </row>
    <row r="70" spans="1:11" s="149" customFormat="1" ht="12.75">
      <c r="A70" s="144" t="s">
        <v>500</v>
      </c>
      <c r="B70" s="145" t="s">
        <v>135</v>
      </c>
      <c r="C70" s="701" t="s">
        <v>230</v>
      </c>
      <c r="D70" s="702"/>
      <c r="E70" s="702"/>
      <c r="F70" s="702"/>
      <c r="G70" s="702"/>
      <c r="H70" s="702"/>
      <c r="I70" s="703"/>
      <c r="J70" s="147">
        <v>16</v>
      </c>
      <c r="K70" s="148" t="s">
        <v>114</v>
      </c>
    </row>
    <row r="71" spans="1:11" ht="12.75">
      <c r="A71" s="692" t="s">
        <v>415</v>
      </c>
      <c r="B71" s="692"/>
      <c r="C71" s="692"/>
      <c r="D71" s="692"/>
      <c r="E71" s="692"/>
      <c r="F71" s="692"/>
      <c r="G71" s="692"/>
      <c r="H71" s="692"/>
      <c r="I71" s="692"/>
      <c r="J71" s="692"/>
      <c r="K71" s="692"/>
    </row>
    <row r="72" spans="1:11" s="149" customFormat="1" ht="12.75">
      <c r="A72" s="144" t="s">
        <v>504</v>
      </c>
      <c r="B72" s="145" t="s">
        <v>135</v>
      </c>
      <c r="C72" s="701" t="s">
        <v>229</v>
      </c>
      <c r="D72" s="702"/>
      <c r="E72" s="702"/>
      <c r="F72" s="702"/>
      <c r="G72" s="702"/>
      <c r="H72" s="702"/>
      <c r="I72" s="703"/>
      <c r="J72" s="147">
        <v>12</v>
      </c>
      <c r="K72" s="148" t="s">
        <v>114</v>
      </c>
    </row>
    <row r="73" spans="1:11" ht="12.75">
      <c r="A73" s="692" t="s">
        <v>416</v>
      </c>
      <c r="B73" s="692"/>
      <c r="C73" s="692"/>
      <c r="D73" s="692"/>
      <c r="E73" s="692"/>
      <c r="F73" s="692"/>
      <c r="G73" s="692"/>
      <c r="H73" s="692"/>
      <c r="I73" s="692"/>
      <c r="J73" s="692"/>
      <c r="K73" s="692"/>
    </row>
    <row r="74" spans="1:11" ht="12.75">
      <c r="A74" s="239" t="s">
        <v>527</v>
      </c>
      <c r="B74" s="240" t="s">
        <v>526</v>
      </c>
      <c r="C74" s="241"/>
      <c r="D74" s="242"/>
      <c r="E74" s="242"/>
      <c r="F74" s="242"/>
      <c r="G74" s="242"/>
      <c r="H74" s="242"/>
      <c r="I74" s="243"/>
      <c r="J74" s="244"/>
      <c r="K74" s="245"/>
    </row>
    <row r="75" spans="1:11" s="149" customFormat="1" ht="28.5" customHeight="1">
      <c r="A75" s="142" t="s">
        <v>528</v>
      </c>
      <c r="B75" s="234" t="s">
        <v>542</v>
      </c>
      <c r="C75" s="704" t="s">
        <v>567</v>
      </c>
      <c r="D75" s="705"/>
      <c r="E75" s="705"/>
      <c r="F75" s="705"/>
      <c r="G75" s="705"/>
      <c r="H75" s="705"/>
      <c r="I75" s="706"/>
      <c r="J75" s="143">
        <v>168</v>
      </c>
      <c r="K75" s="140" t="s">
        <v>65</v>
      </c>
    </row>
    <row r="76" spans="1:14" ht="12.75">
      <c r="A76" s="693" t="s">
        <v>568</v>
      </c>
      <c r="B76" s="694"/>
      <c r="C76" s="694"/>
      <c r="D76" s="694"/>
      <c r="E76" s="694"/>
      <c r="F76" s="694"/>
      <c r="G76" s="694"/>
      <c r="H76" s="694"/>
      <c r="I76" s="694"/>
      <c r="J76" s="694"/>
      <c r="K76" s="695"/>
      <c r="M76">
        <f>0.15*0.3*52*2+0.15*0.3*30+2*0.2*27*2+2*0.2*15*2</f>
        <v>39.63</v>
      </c>
      <c r="N76">
        <f>27*2*2+15*2*2</f>
        <v>168</v>
      </c>
    </row>
    <row r="77" spans="1:11" ht="12.75">
      <c r="A77" s="144" t="s">
        <v>529</v>
      </c>
      <c r="B77" s="253" t="s">
        <v>542</v>
      </c>
      <c r="C77" s="691" t="s">
        <v>109</v>
      </c>
      <c r="D77" s="691"/>
      <c r="E77" s="691"/>
      <c r="F77" s="691"/>
      <c r="G77" s="691"/>
      <c r="H77" s="691"/>
      <c r="I77" s="691"/>
      <c r="J77" s="147">
        <v>5.04</v>
      </c>
      <c r="K77" s="148" t="s">
        <v>64</v>
      </c>
    </row>
    <row r="78" spans="1:13" ht="12.75">
      <c r="A78" s="693" t="s">
        <v>570</v>
      </c>
      <c r="B78" s="694"/>
      <c r="C78" s="694"/>
      <c r="D78" s="694"/>
      <c r="E78" s="694"/>
      <c r="F78" s="694"/>
      <c r="G78" s="694"/>
      <c r="H78" s="694"/>
      <c r="I78" s="694"/>
      <c r="J78" s="694"/>
      <c r="K78" s="695"/>
      <c r="M78">
        <f>(52*2+32*2)*0.12*0.25</f>
        <v>5.04</v>
      </c>
    </row>
    <row r="79" spans="1:11" s="149" customFormat="1" ht="19.5" customHeight="1">
      <c r="A79" s="142" t="s">
        <v>530</v>
      </c>
      <c r="B79" s="234" t="s">
        <v>216</v>
      </c>
      <c r="C79" s="704" t="s">
        <v>215</v>
      </c>
      <c r="D79" s="705"/>
      <c r="E79" s="705"/>
      <c r="F79" s="705"/>
      <c r="G79" s="705"/>
      <c r="H79" s="705"/>
      <c r="I79" s="706"/>
      <c r="J79" s="143">
        <v>164.64</v>
      </c>
      <c r="K79" s="140" t="s">
        <v>66</v>
      </c>
    </row>
    <row r="80" spans="1:13" ht="12.75">
      <c r="A80" s="693" t="s">
        <v>539</v>
      </c>
      <c r="B80" s="694"/>
      <c r="C80" s="694"/>
      <c r="D80" s="694"/>
      <c r="E80" s="694"/>
      <c r="F80" s="694"/>
      <c r="G80" s="694"/>
      <c r="H80" s="694"/>
      <c r="I80" s="694"/>
      <c r="J80" s="694"/>
      <c r="K80" s="695"/>
      <c r="M80">
        <f>(52*2*4+32*2*4)*0.245</f>
        <v>164.64</v>
      </c>
    </row>
    <row r="81" spans="1:11" s="149" customFormat="1" ht="20.25" customHeight="1">
      <c r="A81" s="144" t="s">
        <v>531</v>
      </c>
      <c r="B81" s="233" t="s">
        <v>320</v>
      </c>
      <c r="C81" s="696" t="s">
        <v>537</v>
      </c>
      <c r="D81" s="697"/>
      <c r="E81" s="697"/>
      <c r="F81" s="697"/>
      <c r="G81" s="697"/>
      <c r="H81" s="697"/>
      <c r="I81" s="698"/>
      <c r="J81" s="147">
        <v>103.48</v>
      </c>
      <c r="K81" s="148" t="s">
        <v>66</v>
      </c>
    </row>
    <row r="82" spans="1:15" ht="12.75">
      <c r="A82" s="710" t="s">
        <v>569</v>
      </c>
      <c r="B82" s="711"/>
      <c r="C82" s="711"/>
      <c r="D82" s="711"/>
      <c r="E82" s="711"/>
      <c r="F82" s="711"/>
      <c r="G82" s="711"/>
      <c r="H82" s="711"/>
      <c r="I82" s="711"/>
      <c r="J82" s="711"/>
      <c r="K82" s="712"/>
      <c r="M82">
        <f>((52/0.2)*2*0.8+(32/0.2)*2*0.8)*0.154</f>
        <v>103.488</v>
      </c>
      <c r="N82">
        <f>0.11*2+0.26*2+0.06</f>
        <v>0.8</v>
      </c>
      <c r="O82">
        <f>0.1*4+0.05</f>
        <v>0.45</v>
      </c>
    </row>
    <row r="83" spans="1:11" s="149" customFormat="1" ht="12.75">
      <c r="A83" s="142" t="s">
        <v>534</v>
      </c>
      <c r="B83" s="234" t="s">
        <v>112</v>
      </c>
      <c r="C83" s="707" t="s">
        <v>111</v>
      </c>
      <c r="D83" s="708"/>
      <c r="E83" s="708"/>
      <c r="F83" s="708"/>
      <c r="G83" s="708"/>
      <c r="H83" s="708"/>
      <c r="I83" s="709"/>
      <c r="J83" s="143">
        <v>100.8</v>
      </c>
      <c r="K83" s="140" t="s">
        <v>63</v>
      </c>
    </row>
    <row r="84" spans="1:13" ht="12.75">
      <c r="A84" s="693" t="s">
        <v>540</v>
      </c>
      <c r="B84" s="694"/>
      <c r="C84" s="694"/>
      <c r="D84" s="694"/>
      <c r="E84" s="694"/>
      <c r="F84" s="694"/>
      <c r="G84" s="694"/>
      <c r="H84" s="694"/>
      <c r="I84" s="694"/>
      <c r="J84" s="694"/>
      <c r="K84" s="695"/>
      <c r="M84">
        <f>(52*0.3*2*2+32*0.3*2*2)</f>
        <v>100.8</v>
      </c>
    </row>
    <row r="85" spans="1:11" s="149" customFormat="1" ht="24.75" customHeight="1">
      <c r="A85" s="142" t="s">
        <v>535</v>
      </c>
      <c r="B85" s="234" t="s">
        <v>532</v>
      </c>
      <c r="C85" s="704" t="s">
        <v>533</v>
      </c>
      <c r="D85" s="705"/>
      <c r="E85" s="705"/>
      <c r="F85" s="705"/>
      <c r="G85" s="705"/>
      <c r="H85" s="705"/>
      <c r="I85" s="706"/>
      <c r="J85" s="143">
        <v>1008</v>
      </c>
      <c r="K85" s="140" t="s">
        <v>63</v>
      </c>
    </row>
    <row r="86" spans="1:13" ht="12.75">
      <c r="A86" s="693" t="s">
        <v>541</v>
      </c>
      <c r="B86" s="694"/>
      <c r="C86" s="694"/>
      <c r="D86" s="694"/>
      <c r="E86" s="694"/>
      <c r="F86" s="694"/>
      <c r="G86" s="694"/>
      <c r="H86" s="694"/>
      <c r="I86" s="694"/>
      <c r="J86" s="694"/>
      <c r="K86" s="695"/>
      <c r="M86">
        <f>6*52*2+6*32*2</f>
        <v>1008</v>
      </c>
    </row>
    <row r="87" spans="1:11" ht="12.75">
      <c r="A87" s="123">
        <v>5</v>
      </c>
      <c r="B87" s="663" t="s">
        <v>390</v>
      </c>
      <c r="C87" s="664"/>
      <c r="D87" s="664"/>
      <c r="E87" s="664"/>
      <c r="F87" s="664"/>
      <c r="G87" s="664"/>
      <c r="H87" s="664"/>
      <c r="I87" s="664"/>
      <c r="J87" s="664"/>
      <c r="K87" s="665"/>
    </row>
    <row r="88" spans="1:11" s="149" customFormat="1" ht="18.75" customHeight="1">
      <c r="A88" s="144" t="s">
        <v>122</v>
      </c>
      <c r="B88" s="233" t="s">
        <v>135</v>
      </c>
      <c r="C88" s="691" t="s">
        <v>476</v>
      </c>
      <c r="D88" s="691"/>
      <c r="E88" s="691"/>
      <c r="F88" s="691"/>
      <c r="G88" s="691"/>
      <c r="H88" s="691"/>
      <c r="I88" s="691"/>
      <c r="J88" s="148">
        <v>8</v>
      </c>
      <c r="K88" s="153" t="s">
        <v>114</v>
      </c>
    </row>
    <row r="89" spans="1:11" ht="12.75">
      <c r="A89" s="692" t="s">
        <v>417</v>
      </c>
      <c r="B89" s="692"/>
      <c r="C89" s="692"/>
      <c r="D89" s="692"/>
      <c r="E89" s="692"/>
      <c r="F89" s="692"/>
      <c r="G89" s="692"/>
      <c r="H89" s="692"/>
      <c r="I89" s="692"/>
      <c r="J89" s="692"/>
      <c r="K89" s="692"/>
    </row>
    <row r="90" spans="1:11" s="149" customFormat="1" ht="12.75" customHeight="1">
      <c r="A90" s="144" t="s">
        <v>334</v>
      </c>
      <c r="B90" s="233" t="s">
        <v>135</v>
      </c>
      <c r="C90" s="691" t="s">
        <v>475</v>
      </c>
      <c r="D90" s="691"/>
      <c r="E90" s="691"/>
      <c r="F90" s="691"/>
      <c r="G90" s="691"/>
      <c r="H90" s="691"/>
      <c r="I90" s="691"/>
      <c r="J90" s="148">
        <v>12</v>
      </c>
      <c r="K90" s="153" t="s">
        <v>114</v>
      </c>
    </row>
    <row r="91" spans="1:11" ht="12.75">
      <c r="A91" s="692" t="s">
        <v>416</v>
      </c>
      <c r="B91" s="692"/>
      <c r="C91" s="692"/>
      <c r="D91" s="692"/>
      <c r="E91" s="692"/>
      <c r="F91" s="692"/>
      <c r="G91" s="692"/>
      <c r="H91" s="692"/>
      <c r="I91" s="692"/>
      <c r="J91" s="692"/>
      <c r="K91" s="692"/>
    </row>
    <row r="92" spans="1:11" s="149" customFormat="1" ht="12.75" customHeight="1">
      <c r="A92" s="144" t="s">
        <v>333</v>
      </c>
      <c r="B92" s="233" t="s">
        <v>135</v>
      </c>
      <c r="C92" s="691" t="s">
        <v>477</v>
      </c>
      <c r="D92" s="691"/>
      <c r="E92" s="691"/>
      <c r="F92" s="691"/>
      <c r="G92" s="691"/>
      <c r="H92" s="691"/>
      <c r="I92" s="691"/>
      <c r="J92" s="148">
        <v>7</v>
      </c>
      <c r="K92" s="153" t="s">
        <v>114</v>
      </c>
    </row>
    <row r="93" spans="1:11" ht="12.75">
      <c r="A93" s="692" t="s">
        <v>418</v>
      </c>
      <c r="B93" s="692"/>
      <c r="C93" s="692"/>
      <c r="D93" s="692"/>
      <c r="E93" s="692"/>
      <c r="F93" s="692"/>
      <c r="G93" s="692"/>
      <c r="H93" s="692"/>
      <c r="I93" s="692"/>
      <c r="J93" s="692"/>
      <c r="K93" s="692"/>
    </row>
    <row r="94" spans="1:11" ht="12.75">
      <c r="A94" s="123">
        <v>6</v>
      </c>
      <c r="B94" s="663" t="s">
        <v>315</v>
      </c>
      <c r="C94" s="664"/>
      <c r="D94" s="664"/>
      <c r="E94" s="664"/>
      <c r="F94" s="664"/>
      <c r="G94" s="664"/>
      <c r="H94" s="664"/>
      <c r="I94" s="664"/>
      <c r="J94" s="664"/>
      <c r="K94" s="665"/>
    </row>
    <row r="95" spans="1:11" s="149" customFormat="1" ht="18.75" customHeight="1">
      <c r="A95" s="144" t="s">
        <v>335</v>
      </c>
      <c r="B95" s="234" t="s">
        <v>520</v>
      </c>
      <c r="C95" s="696" t="s">
        <v>521</v>
      </c>
      <c r="D95" s="697"/>
      <c r="E95" s="697"/>
      <c r="F95" s="697"/>
      <c r="G95" s="697"/>
      <c r="H95" s="697"/>
      <c r="I95" s="698"/>
      <c r="J95" s="148">
        <v>47.9</v>
      </c>
      <c r="K95" s="153" t="s">
        <v>65</v>
      </c>
    </row>
    <row r="96" spans="1:11" ht="12.75">
      <c r="A96" s="692" t="s">
        <v>523</v>
      </c>
      <c r="B96" s="692"/>
      <c r="C96" s="692"/>
      <c r="D96" s="692"/>
      <c r="E96" s="692"/>
      <c r="F96" s="692"/>
      <c r="G96" s="692"/>
      <c r="H96" s="692"/>
      <c r="I96" s="692"/>
      <c r="J96" s="692"/>
      <c r="K96" s="692"/>
    </row>
    <row r="97" spans="1:11" s="149" customFormat="1" ht="17.25" customHeight="1">
      <c r="A97" s="144" t="s">
        <v>336</v>
      </c>
      <c r="B97" s="200" t="s">
        <v>471</v>
      </c>
      <c r="C97" s="696" t="s">
        <v>473</v>
      </c>
      <c r="D97" s="697"/>
      <c r="E97" s="697"/>
      <c r="F97" s="697"/>
      <c r="G97" s="697"/>
      <c r="H97" s="697"/>
      <c r="I97" s="698"/>
      <c r="J97" s="203">
        <v>10.5</v>
      </c>
      <c r="K97" s="153" t="s">
        <v>65</v>
      </c>
    </row>
    <row r="98" spans="1:11" ht="12.75">
      <c r="A98" s="692" t="s">
        <v>479</v>
      </c>
      <c r="B98" s="692"/>
      <c r="C98" s="692"/>
      <c r="D98" s="692"/>
      <c r="E98" s="692"/>
      <c r="F98" s="692"/>
      <c r="G98" s="692"/>
      <c r="H98" s="692"/>
      <c r="I98" s="692"/>
      <c r="J98" s="692"/>
      <c r="K98" s="692"/>
    </row>
    <row r="99" spans="1:11" s="149" customFormat="1" ht="12.75">
      <c r="A99" s="144" t="s">
        <v>337</v>
      </c>
      <c r="B99" s="145" t="s">
        <v>542</v>
      </c>
      <c r="C99" s="691" t="s">
        <v>316</v>
      </c>
      <c r="D99" s="691"/>
      <c r="E99" s="691"/>
      <c r="F99" s="691"/>
      <c r="G99" s="691"/>
      <c r="H99" s="691"/>
      <c r="I99" s="691"/>
      <c r="J99" s="152">
        <v>2.51</v>
      </c>
      <c r="K99" s="148" t="s">
        <v>64</v>
      </c>
    </row>
    <row r="100" spans="1:12" ht="12.75">
      <c r="A100" s="692" t="s">
        <v>409</v>
      </c>
      <c r="B100" s="692"/>
      <c r="C100" s="692"/>
      <c r="D100" s="692"/>
      <c r="E100" s="692"/>
      <c r="F100" s="692"/>
      <c r="G100" s="692"/>
      <c r="H100" s="692"/>
      <c r="I100" s="692"/>
      <c r="J100" s="692"/>
      <c r="K100" s="692"/>
      <c r="L100">
        <f>5.95*0.25+3*0.25*0.5+3*0.6*0.6*0.6</f>
        <v>2.5105</v>
      </c>
    </row>
    <row r="101" spans="1:11" s="149" customFormat="1" ht="19.5" customHeight="1">
      <c r="A101" s="144" t="s">
        <v>338</v>
      </c>
      <c r="B101" s="145" t="s">
        <v>320</v>
      </c>
      <c r="C101" s="696" t="s">
        <v>318</v>
      </c>
      <c r="D101" s="697"/>
      <c r="E101" s="697"/>
      <c r="F101" s="697"/>
      <c r="G101" s="697"/>
      <c r="H101" s="697"/>
      <c r="I101" s="698"/>
      <c r="J101" s="152">
        <v>9.14</v>
      </c>
      <c r="K101" s="148" t="s">
        <v>66</v>
      </c>
    </row>
    <row r="102" spans="1:12" ht="12.75">
      <c r="A102" s="692" t="s">
        <v>412</v>
      </c>
      <c r="B102" s="692"/>
      <c r="C102" s="692"/>
      <c r="D102" s="692"/>
      <c r="E102" s="692"/>
      <c r="F102" s="692"/>
      <c r="G102" s="692"/>
      <c r="H102" s="692"/>
      <c r="I102" s="692"/>
      <c r="J102" s="692"/>
      <c r="K102" s="692"/>
      <c r="L102">
        <f>((1.46*20)+(14*4.54)/2)*0.15</f>
        <v>9.147</v>
      </c>
    </row>
    <row r="103" spans="1:11" s="149" customFormat="1" ht="20.25" customHeight="1">
      <c r="A103" s="144" t="s">
        <v>339</v>
      </c>
      <c r="B103" s="145" t="s">
        <v>319</v>
      </c>
      <c r="C103" s="696" t="s">
        <v>317</v>
      </c>
      <c r="D103" s="697"/>
      <c r="E103" s="697"/>
      <c r="F103" s="697"/>
      <c r="G103" s="697"/>
      <c r="H103" s="697"/>
      <c r="I103" s="698"/>
      <c r="J103" s="148">
        <v>6.92</v>
      </c>
      <c r="K103" s="153" t="s">
        <v>66</v>
      </c>
    </row>
    <row r="104" spans="1:11" ht="12.75">
      <c r="A104" s="692" t="s">
        <v>411</v>
      </c>
      <c r="B104" s="692"/>
      <c r="C104" s="692"/>
      <c r="D104" s="692"/>
      <c r="E104" s="692"/>
      <c r="F104" s="692"/>
      <c r="G104" s="692"/>
      <c r="H104" s="692"/>
      <c r="I104" s="692"/>
      <c r="J104" s="692"/>
      <c r="K104" s="692"/>
    </row>
    <row r="105" spans="1:11" s="149" customFormat="1" ht="21" customHeight="1">
      <c r="A105" s="144" t="s">
        <v>472</v>
      </c>
      <c r="B105" s="145" t="s">
        <v>322</v>
      </c>
      <c r="C105" s="696" t="s">
        <v>321</v>
      </c>
      <c r="D105" s="697"/>
      <c r="E105" s="697"/>
      <c r="F105" s="697"/>
      <c r="G105" s="697"/>
      <c r="H105" s="697"/>
      <c r="I105" s="698"/>
      <c r="J105" s="148">
        <v>37.02</v>
      </c>
      <c r="K105" s="153" t="s">
        <v>66</v>
      </c>
    </row>
    <row r="106" spans="1:12" ht="12.75">
      <c r="A106" s="692" t="s">
        <v>410</v>
      </c>
      <c r="B106" s="692"/>
      <c r="C106" s="692"/>
      <c r="D106" s="692"/>
      <c r="E106" s="692"/>
      <c r="F106" s="692"/>
      <c r="G106" s="692"/>
      <c r="H106" s="692"/>
      <c r="I106" s="692"/>
      <c r="J106" s="692"/>
      <c r="K106" s="692"/>
      <c r="L106">
        <f>(((18*4)-(12*3.5))*2)*0.617</f>
        <v>37.019999999999996</v>
      </c>
    </row>
    <row r="107" spans="1:11" ht="12.75">
      <c r="A107" s="123">
        <v>7</v>
      </c>
      <c r="B107" s="663" t="s">
        <v>130</v>
      </c>
      <c r="C107" s="664"/>
      <c r="D107" s="664"/>
      <c r="E107" s="664"/>
      <c r="F107" s="664"/>
      <c r="G107" s="664"/>
      <c r="H107" s="664"/>
      <c r="I107" s="664"/>
      <c r="J107" s="664"/>
      <c r="K107" s="665"/>
    </row>
    <row r="108" spans="1:11" s="149" customFormat="1" ht="18.75" customHeight="1">
      <c r="A108" s="144" t="s">
        <v>340</v>
      </c>
      <c r="B108" s="145" t="s">
        <v>132</v>
      </c>
      <c r="C108" s="691" t="s">
        <v>131</v>
      </c>
      <c r="D108" s="691"/>
      <c r="E108" s="691"/>
      <c r="F108" s="691"/>
      <c r="G108" s="691"/>
      <c r="H108" s="691"/>
      <c r="I108" s="691"/>
      <c r="J108" s="148">
        <v>12</v>
      </c>
      <c r="K108" s="153" t="s">
        <v>114</v>
      </c>
    </row>
    <row r="109" spans="1:11" ht="12.75">
      <c r="A109" s="692" t="s">
        <v>416</v>
      </c>
      <c r="B109" s="692"/>
      <c r="C109" s="692"/>
      <c r="D109" s="692"/>
      <c r="E109" s="692"/>
      <c r="F109" s="692"/>
      <c r="G109" s="692"/>
      <c r="H109" s="692"/>
      <c r="I109" s="692"/>
      <c r="J109" s="692"/>
      <c r="K109" s="692"/>
    </row>
    <row r="110" spans="1:11" s="149" customFormat="1" ht="18" customHeight="1">
      <c r="A110" s="144" t="s">
        <v>341</v>
      </c>
      <c r="B110" s="145" t="s">
        <v>234</v>
      </c>
      <c r="C110" s="691" t="s">
        <v>235</v>
      </c>
      <c r="D110" s="691"/>
      <c r="E110" s="691"/>
      <c r="F110" s="691"/>
      <c r="G110" s="691"/>
      <c r="H110" s="691"/>
      <c r="I110" s="691"/>
      <c r="J110" s="148">
        <v>12</v>
      </c>
      <c r="K110" s="153" t="s">
        <v>114</v>
      </c>
    </row>
    <row r="111" spans="1:11" ht="12.75">
      <c r="A111" s="692" t="s">
        <v>416</v>
      </c>
      <c r="B111" s="692"/>
      <c r="C111" s="692"/>
      <c r="D111" s="692"/>
      <c r="E111" s="692"/>
      <c r="F111" s="692"/>
      <c r="G111" s="692"/>
      <c r="H111" s="692"/>
      <c r="I111" s="692"/>
      <c r="J111" s="692"/>
      <c r="K111" s="692"/>
    </row>
    <row r="112" spans="1:20" s="149" customFormat="1" ht="12.75">
      <c r="A112" s="251" t="s">
        <v>342</v>
      </c>
      <c r="B112" s="252" t="s">
        <v>499</v>
      </c>
      <c r="C112" s="714" t="s">
        <v>501</v>
      </c>
      <c r="D112" s="715"/>
      <c r="E112" s="715"/>
      <c r="F112" s="715"/>
      <c r="G112" s="715"/>
      <c r="H112" s="715"/>
      <c r="I112" s="716"/>
      <c r="J112" s="252">
        <v>0.21</v>
      </c>
      <c r="K112" s="252" t="s">
        <v>64</v>
      </c>
      <c r="T112" s="149">
        <v>332.45</v>
      </c>
    </row>
    <row r="113" spans="1:13" ht="12.75">
      <c r="A113" s="699" t="s">
        <v>563</v>
      </c>
      <c r="B113" s="699"/>
      <c r="C113" s="699"/>
      <c r="D113" s="699"/>
      <c r="E113" s="699"/>
      <c r="F113" s="699"/>
      <c r="G113" s="699"/>
      <c r="H113" s="699"/>
      <c r="I113" s="699"/>
      <c r="J113" s="699"/>
      <c r="K113" s="700"/>
      <c r="M113">
        <f>(0.6*0.6*0.05)*12</f>
        <v>0.21599999999999997</v>
      </c>
    </row>
    <row r="114" spans="1:20" s="149" customFormat="1" ht="12.75">
      <c r="A114" s="251" t="s">
        <v>343</v>
      </c>
      <c r="B114" s="252" t="s">
        <v>507</v>
      </c>
      <c r="C114" s="714" t="s">
        <v>508</v>
      </c>
      <c r="D114" s="715"/>
      <c r="E114" s="715"/>
      <c r="F114" s="715"/>
      <c r="G114" s="715"/>
      <c r="H114" s="715"/>
      <c r="I114" s="716"/>
      <c r="J114" s="252">
        <v>2.59</v>
      </c>
      <c r="K114" s="252" t="s">
        <v>64</v>
      </c>
      <c r="T114" s="149">
        <v>28.99</v>
      </c>
    </row>
    <row r="115" spans="1:13" ht="12.75">
      <c r="A115" s="699" t="s">
        <v>564</v>
      </c>
      <c r="B115" s="699"/>
      <c r="C115" s="699"/>
      <c r="D115" s="699"/>
      <c r="E115" s="699"/>
      <c r="F115" s="699"/>
      <c r="G115" s="699"/>
      <c r="H115" s="699"/>
      <c r="I115" s="699"/>
      <c r="J115" s="699"/>
      <c r="K115" s="700"/>
      <c r="M115">
        <f>(0.6*0.6*0.6)*12</f>
        <v>2.592</v>
      </c>
    </row>
    <row r="116" spans="1:20" s="149" customFormat="1" ht="12.75">
      <c r="A116" s="251" t="s">
        <v>344</v>
      </c>
      <c r="B116" s="252" t="s">
        <v>542</v>
      </c>
      <c r="C116" s="714" t="s">
        <v>316</v>
      </c>
      <c r="D116" s="715"/>
      <c r="E116" s="715"/>
      <c r="F116" s="715"/>
      <c r="G116" s="715"/>
      <c r="H116" s="715"/>
      <c r="I116" s="716"/>
      <c r="J116" s="252">
        <v>2.59</v>
      </c>
      <c r="K116" s="252" t="s">
        <v>64</v>
      </c>
      <c r="T116" s="149">
        <v>366.82</v>
      </c>
    </row>
    <row r="117" spans="1:11" ht="12.75">
      <c r="A117" s="699" t="s">
        <v>565</v>
      </c>
      <c r="B117" s="699"/>
      <c r="C117" s="699"/>
      <c r="D117" s="699"/>
      <c r="E117" s="699"/>
      <c r="F117" s="699"/>
      <c r="G117" s="699"/>
      <c r="H117" s="699"/>
      <c r="I117" s="699"/>
      <c r="J117" s="699"/>
      <c r="K117" s="700"/>
    </row>
    <row r="118" spans="1:11" s="149" customFormat="1" ht="26.25" customHeight="1">
      <c r="A118" s="144" t="s">
        <v>345</v>
      </c>
      <c r="B118" s="145" t="s">
        <v>156</v>
      </c>
      <c r="C118" s="691" t="s">
        <v>155</v>
      </c>
      <c r="D118" s="691"/>
      <c r="E118" s="691"/>
      <c r="F118" s="691"/>
      <c r="G118" s="691"/>
      <c r="H118" s="691"/>
      <c r="I118" s="691"/>
      <c r="J118" s="148">
        <v>1</v>
      </c>
      <c r="K118" s="153" t="s">
        <v>114</v>
      </c>
    </row>
    <row r="119" spans="1:11" ht="12.75">
      <c r="A119" s="692" t="s">
        <v>413</v>
      </c>
      <c r="B119" s="692"/>
      <c r="C119" s="692"/>
      <c r="D119" s="692"/>
      <c r="E119" s="692"/>
      <c r="F119" s="692"/>
      <c r="G119" s="692"/>
      <c r="H119" s="692"/>
      <c r="I119" s="692"/>
      <c r="J119" s="692"/>
      <c r="K119" s="692"/>
    </row>
    <row r="120" spans="1:11" s="149" customFormat="1" ht="18" customHeight="1">
      <c r="A120" s="144" t="s">
        <v>346</v>
      </c>
      <c r="B120" s="145" t="s">
        <v>236</v>
      </c>
      <c r="C120" s="691" t="s">
        <v>237</v>
      </c>
      <c r="D120" s="691"/>
      <c r="E120" s="691"/>
      <c r="F120" s="691"/>
      <c r="G120" s="691"/>
      <c r="H120" s="691"/>
      <c r="I120" s="691"/>
      <c r="J120" s="148">
        <v>1</v>
      </c>
      <c r="K120" s="153" t="s">
        <v>114</v>
      </c>
    </row>
    <row r="121" spans="1:11" ht="12.75">
      <c r="A121" s="692" t="s">
        <v>413</v>
      </c>
      <c r="B121" s="692"/>
      <c r="C121" s="692"/>
      <c r="D121" s="692"/>
      <c r="E121" s="692"/>
      <c r="F121" s="692"/>
      <c r="G121" s="692"/>
      <c r="H121" s="692"/>
      <c r="I121" s="692"/>
      <c r="J121" s="692"/>
      <c r="K121" s="692"/>
    </row>
    <row r="122" spans="1:11" s="149" customFormat="1" ht="17.25" customHeight="1">
      <c r="A122" s="144" t="s">
        <v>347</v>
      </c>
      <c r="B122" s="145" t="s">
        <v>217</v>
      </c>
      <c r="C122" s="691" t="s">
        <v>157</v>
      </c>
      <c r="D122" s="691"/>
      <c r="E122" s="691"/>
      <c r="F122" s="691"/>
      <c r="G122" s="691"/>
      <c r="H122" s="691"/>
      <c r="I122" s="691"/>
      <c r="J122" s="148">
        <v>2</v>
      </c>
      <c r="K122" s="153" t="s">
        <v>114</v>
      </c>
    </row>
    <row r="123" spans="1:11" ht="12.75">
      <c r="A123" s="692" t="s">
        <v>419</v>
      </c>
      <c r="B123" s="692"/>
      <c r="C123" s="692"/>
      <c r="D123" s="692"/>
      <c r="E123" s="692"/>
      <c r="F123" s="692"/>
      <c r="G123" s="692"/>
      <c r="H123" s="692"/>
      <c r="I123" s="692"/>
      <c r="J123" s="692"/>
      <c r="K123" s="692"/>
    </row>
    <row r="124" spans="1:11" s="149" customFormat="1" ht="18.75" customHeight="1">
      <c r="A124" s="144" t="s">
        <v>348</v>
      </c>
      <c r="B124" s="145" t="s">
        <v>218</v>
      </c>
      <c r="C124" s="691" t="s">
        <v>158</v>
      </c>
      <c r="D124" s="691"/>
      <c r="E124" s="691"/>
      <c r="F124" s="691"/>
      <c r="G124" s="691"/>
      <c r="H124" s="691"/>
      <c r="I124" s="691"/>
      <c r="J124" s="148">
        <v>5</v>
      </c>
      <c r="K124" s="153" t="s">
        <v>114</v>
      </c>
    </row>
    <row r="125" spans="1:11" ht="12.75">
      <c r="A125" s="692" t="s">
        <v>420</v>
      </c>
      <c r="B125" s="692"/>
      <c r="C125" s="692"/>
      <c r="D125" s="692"/>
      <c r="E125" s="692"/>
      <c r="F125" s="692"/>
      <c r="G125" s="692"/>
      <c r="H125" s="692"/>
      <c r="I125" s="692"/>
      <c r="J125" s="692"/>
      <c r="K125" s="692"/>
    </row>
    <row r="126" spans="1:11" s="149" customFormat="1" ht="18" customHeight="1">
      <c r="A126" s="144" t="s">
        <v>349</v>
      </c>
      <c r="B126" s="145" t="s">
        <v>219</v>
      </c>
      <c r="C126" s="691" t="s">
        <v>159</v>
      </c>
      <c r="D126" s="691"/>
      <c r="E126" s="691"/>
      <c r="F126" s="691"/>
      <c r="G126" s="691"/>
      <c r="H126" s="691"/>
      <c r="I126" s="691"/>
      <c r="J126" s="148">
        <v>1</v>
      </c>
      <c r="K126" s="153" t="s">
        <v>114</v>
      </c>
    </row>
    <row r="127" spans="1:11" ht="12.75">
      <c r="A127" s="692" t="s">
        <v>413</v>
      </c>
      <c r="B127" s="692"/>
      <c r="C127" s="692"/>
      <c r="D127" s="692"/>
      <c r="E127" s="692"/>
      <c r="F127" s="692"/>
      <c r="G127" s="692"/>
      <c r="H127" s="692"/>
      <c r="I127" s="692"/>
      <c r="J127" s="692"/>
      <c r="K127" s="692"/>
    </row>
    <row r="128" spans="1:11" s="149" customFormat="1" ht="18" customHeight="1">
      <c r="A128" s="144" t="s">
        <v>350</v>
      </c>
      <c r="B128" s="145" t="s">
        <v>220</v>
      </c>
      <c r="C128" s="691" t="s">
        <v>160</v>
      </c>
      <c r="D128" s="691"/>
      <c r="E128" s="691"/>
      <c r="F128" s="691"/>
      <c r="G128" s="691"/>
      <c r="H128" s="691"/>
      <c r="I128" s="691"/>
      <c r="J128" s="148">
        <v>2</v>
      </c>
      <c r="K128" s="153" t="s">
        <v>114</v>
      </c>
    </row>
    <row r="129" spans="1:11" ht="12.75">
      <c r="A129" s="692" t="s">
        <v>419</v>
      </c>
      <c r="B129" s="692"/>
      <c r="C129" s="692"/>
      <c r="D129" s="692"/>
      <c r="E129" s="692"/>
      <c r="F129" s="692"/>
      <c r="G129" s="692"/>
      <c r="H129" s="692"/>
      <c r="I129" s="692"/>
      <c r="J129" s="692"/>
      <c r="K129" s="692"/>
    </row>
    <row r="130" spans="1:11" s="149" customFormat="1" ht="18" customHeight="1">
      <c r="A130" s="144" t="s">
        <v>351</v>
      </c>
      <c r="B130" s="145" t="s">
        <v>232</v>
      </c>
      <c r="C130" s="691" t="s">
        <v>231</v>
      </c>
      <c r="D130" s="691"/>
      <c r="E130" s="691"/>
      <c r="F130" s="691"/>
      <c r="G130" s="691"/>
      <c r="H130" s="691"/>
      <c r="I130" s="691"/>
      <c r="J130" s="148">
        <v>85</v>
      </c>
      <c r="K130" s="153" t="s">
        <v>65</v>
      </c>
    </row>
    <row r="131" spans="1:11" ht="12.75">
      <c r="A131" s="692" t="s">
        <v>421</v>
      </c>
      <c r="B131" s="692"/>
      <c r="C131" s="692"/>
      <c r="D131" s="692"/>
      <c r="E131" s="692"/>
      <c r="F131" s="692"/>
      <c r="G131" s="692"/>
      <c r="H131" s="692"/>
      <c r="I131" s="692"/>
      <c r="J131" s="692"/>
      <c r="K131" s="692"/>
    </row>
    <row r="132" spans="1:11" s="149" customFormat="1" ht="21" customHeight="1">
      <c r="A132" s="144" t="s">
        <v>352</v>
      </c>
      <c r="B132" s="145" t="s">
        <v>162</v>
      </c>
      <c r="C132" s="691" t="s">
        <v>161</v>
      </c>
      <c r="D132" s="691"/>
      <c r="E132" s="691"/>
      <c r="F132" s="691"/>
      <c r="G132" s="691"/>
      <c r="H132" s="691"/>
      <c r="I132" s="691"/>
      <c r="J132" s="148">
        <v>158.7</v>
      </c>
      <c r="K132" s="153" t="s">
        <v>65</v>
      </c>
    </row>
    <row r="133" spans="1:11" ht="12.75">
      <c r="A133" s="692" t="s">
        <v>421</v>
      </c>
      <c r="B133" s="692"/>
      <c r="C133" s="692"/>
      <c r="D133" s="692"/>
      <c r="E133" s="692"/>
      <c r="F133" s="692"/>
      <c r="G133" s="692"/>
      <c r="H133" s="692"/>
      <c r="I133" s="692"/>
      <c r="J133" s="692"/>
      <c r="K133" s="692"/>
    </row>
    <row r="134" spans="1:11" s="149" customFormat="1" ht="19.5" customHeight="1">
      <c r="A134" s="144" t="s">
        <v>353</v>
      </c>
      <c r="B134" s="145" t="s">
        <v>164</v>
      </c>
      <c r="C134" s="691" t="s">
        <v>163</v>
      </c>
      <c r="D134" s="691"/>
      <c r="E134" s="691"/>
      <c r="F134" s="691"/>
      <c r="G134" s="691"/>
      <c r="H134" s="691"/>
      <c r="I134" s="691"/>
      <c r="J134" s="148">
        <f>35+1714.22-70</f>
        <v>1679.22</v>
      </c>
      <c r="K134" s="153" t="s">
        <v>65</v>
      </c>
    </row>
    <row r="135" spans="1:11" ht="12.75">
      <c r="A135" s="692" t="s">
        <v>421</v>
      </c>
      <c r="B135" s="692"/>
      <c r="C135" s="692"/>
      <c r="D135" s="692"/>
      <c r="E135" s="692"/>
      <c r="F135" s="692"/>
      <c r="G135" s="692"/>
      <c r="H135" s="692"/>
      <c r="I135" s="692"/>
      <c r="J135" s="692"/>
      <c r="K135" s="692"/>
    </row>
    <row r="136" spans="1:11" s="149" customFormat="1" ht="19.5" customHeight="1">
      <c r="A136" s="144" t="s">
        <v>354</v>
      </c>
      <c r="B136" s="145" t="s">
        <v>221</v>
      </c>
      <c r="C136" s="691" t="s">
        <v>165</v>
      </c>
      <c r="D136" s="691"/>
      <c r="E136" s="691"/>
      <c r="F136" s="691"/>
      <c r="G136" s="691"/>
      <c r="H136" s="691"/>
      <c r="I136" s="691"/>
      <c r="J136" s="148">
        <v>21</v>
      </c>
      <c r="K136" s="153" t="s">
        <v>65</v>
      </c>
    </row>
    <row r="137" spans="1:11" ht="12.75">
      <c r="A137" s="692" t="s">
        <v>421</v>
      </c>
      <c r="B137" s="692"/>
      <c r="C137" s="692"/>
      <c r="D137" s="692"/>
      <c r="E137" s="692"/>
      <c r="F137" s="692"/>
      <c r="G137" s="692"/>
      <c r="H137" s="692"/>
      <c r="I137" s="692"/>
      <c r="J137" s="692"/>
      <c r="K137" s="692"/>
    </row>
    <row r="138" spans="1:11" s="149" customFormat="1" ht="12.75">
      <c r="A138" s="144" t="s">
        <v>355</v>
      </c>
      <c r="B138" s="145" t="s">
        <v>169</v>
      </c>
      <c r="C138" s="691" t="s">
        <v>168</v>
      </c>
      <c r="D138" s="691"/>
      <c r="E138" s="691"/>
      <c r="F138" s="691"/>
      <c r="G138" s="691"/>
      <c r="H138" s="691"/>
      <c r="I138" s="691"/>
      <c r="J138" s="148">
        <v>15</v>
      </c>
      <c r="K138" s="153" t="s">
        <v>114</v>
      </c>
    </row>
    <row r="139" spans="1:11" ht="12.75">
      <c r="A139" s="692" t="s">
        <v>437</v>
      </c>
      <c r="B139" s="692"/>
      <c r="C139" s="692"/>
      <c r="D139" s="692"/>
      <c r="E139" s="692"/>
      <c r="F139" s="692"/>
      <c r="G139" s="692"/>
      <c r="H139" s="692"/>
      <c r="I139" s="692"/>
      <c r="J139" s="692"/>
      <c r="K139" s="692"/>
    </row>
    <row r="140" spans="1:11" s="149" customFormat="1" ht="12.75">
      <c r="A140" s="144" t="s">
        <v>356</v>
      </c>
      <c r="B140" s="145" t="s">
        <v>171</v>
      </c>
      <c r="C140" s="691" t="s">
        <v>170</v>
      </c>
      <c r="D140" s="691"/>
      <c r="E140" s="691"/>
      <c r="F140" s="691"/>
      <c r="G140" s="691"/>
      <c r="H140" s="691"/>
      <c r="I140" s="691"/>
      <c r="J140" s="148">
        <v>1</v>
      </c>
      <c r="K140" s="153" t="s">
        <v>114</v>
      </c>
    </row>
    <row r="141" spans="1:11" ht="12.75">
      <c r="A141" s="692" t="s">
        <v>413</v>
      </c>
      <c r="B141" s="692"/>
      <c r="C141" s="692"/>
      <c r="D141" s="692"/>
      <c r="E141" s="692"/>
      <c r="F141" s="692"/>
      <c r="G141" s="692"/>
      <c r="H141" s="692"/>
      <c r="I141" s="692"/>
      <c r="J141" s="692"/>
      <c r="K141" s="692"/>
    </row>
    <row r="142" spans="1:11" s="149" customFormat="1" ht="17.25" customHeight="1">
      <c r="A142" s="144" t="s">
        <v>357</v>
      </c>
      <c r="B142" s="145" t="s">
        <v>173</v>
      </c>
      <c r="C142" s="691" t="s">
        <v>172</v>
      </c>
      <c r="D142" s="691"/>
      <c r="E142" s="691"/>
      <c r="F142" s="691"/>
      <c r="G142" s="691"/>
      <c r="H142" s="691"/>
      <c r="I142" s="691"/>
      <c r="J142" s="148">
        <v>20</v>
      </c>
      <c r="K142" s="153" t="s">
        <v>114</v>
      </c>
    </row>
    <row r="143" spans="1:11" ht="12.75">
      <c r="A143" s="692" t="s">
        <v>424</v>
      </c>
      <c r="B143" s="692"/>
      <c r="C143" s="692"/>
      <c r="D143" s="692"/>
      <c r="E143" s="692"/>
      <c r="F143" s="692"/>
      <c r="G143" s="692"/>
      <c r="H143" s="692"/>
      <c r="I143" s="692"/>
      <c r="J143" s="692"/>
      <c r="K143" s="692"/>
    </row>
    <row r="144" spans="1:11" s="149" customFormat="1" ht="12.75">
      <c r="A144" s="144" t="s">
        <v>358</v>
      </c>
      <c r="B144" s="139" t="s">
        <v>135</v>
      </c>
      <c r="C144" s="713" t="s">
        <v>238</v>
      </c>
      <c r="D144" s="713"/>
      <c r="E144" s="713"/>
      <c r="F144" s="713"/>
      <c r="G144" s="713"/>
      <c r="H144" s="713"/>
      <c r="I144" s="713"/>
      <c r="J144" s="148">
        <v>36</v>
      </c>
      <c r="K144" s="153" t="s">
        <v>114</v>
      </c>
    </row>
    <row r="145" spans="1:11" ht="12.75">
      <c r="A145" s="692" t="s">
        <v>438</v>
      </c>
      <c r="B145" s="692"/>
      <c r="C145" s="692"/>
      <c r="D145" s="692"/>
      <c r="E145" s="692"/>
      <c r="F145" s="692"/>
      <c r="G145" s="692"/>
      <c r="H145" s="692"/>
      <c r="I145" s="692"/>
      <c r="J145" s="692"/>
      <c r="K145" s="692"/>
    </row>
    <row r="146" spans="1:11" s="149" customFormat="1" ht="18.75" customHeight="1">
      <c r="A146" s="144" t="s">
        <v>359</v>
      </c>
      <c r="B146" s="145" t="s">
        <v>175</v>
      </c>
      <c r="C146" s="691" t="s">
        <v>174</v>
      </c>
      <c r="D146" s="691"/>
      <c r="E146" s="691"/>
      <c r="F146" s="691"/>
      <c r="G146" s="691"/>
      <c r="H146" s="691"/>
      <c r="I146" s="691"/>
      <c r="J146" s="148">
        <v>58</v>
      </c>
      <c r="K146" s="153" t="s">
        <v>65</v>
      </c>
    </row>
    <row r="147" spans="1:11" ht="12.75">
      <c r="A147" s="692" t="s">
        <v>421</v>
      </c>
      <c r="B147" s="692"/>
      <c r="C147" s="692"/>
      <c r="D147" s="692"/>
      <c r="E147" s="692"/>
      <c r="F147" s="692"/>
      <c r="G147" s="692"/>
      <c r="H147" s="692"/>
      <c r="I147" s="692"/>
      <c r="J147" s="692"/>
      <c r="K147" s="692"/>
    </row>
    <row r="148" spans="1:11" s="149" customFormat="1" ht="18" customHeight="1">
      <c r="A148" s="144" t="s">
        <v>360</v>
      </c>
      <c r="B148" s="145" t="s">
        <v>239</v>
      </c>
      <c r="C148" s="691" t="s">
        <v>240</v>
      </c>
      <c r="D148" s="691"/>
      <c r="E148" s="691"/>
      <c r="F148" s="691"/>
      <c r="G148" s="691"/>
      <c r="H148" s="691"/>
      <c r="I148" s="691"/>
      <c r="J148" s="148">
        <v>497.42</v>
      </c>
      <c r="K148" s="153" t="s">
        <v>65</v>
      </c>
    </row>
    <row r="149" spans="1:11" ht="12.75">
      <c r="A149" s="692" t="s">
        <v>421</v>
      </c>
      <c r="B149" s="692"/>
      <c r="C149" s="692"/>
      <c r="D149" s="692"/>
      <c r="E149" s="692"/>
      <c r="F149" s="692"/>
      <c r="G149" s="692"/>
      <c r="H149" s="692"/>
      <c r="I149" s="692"/>
      <c r="J149" s="692"/>
      <c r="K149" s="692"/>
    </row>
    <row r="150" spans="1:11" s="149" customFormat="1" ht="17.25" customHeight="1">
      <c r="A150" s="144" t="s">
        <v>361</v>
      </c>
      <c r="B150" s="145" t="s">
        <v>177</v>
      </c>
      <c r="C150" s="691" t="s">
        <v>176</v>
      </c>
      <c r="D150" s="691"/>
      <c r="E150" s="691"/>
      <c r="F150" s="691"/>
      <c r="G150" s="691"/>
      <c r="H150" s="691"/>
      <c r="I150" s="691"/>
      <c r="J150" s="148">
        <v>6</v>
      </c>
      <c r="K150" s="153" t="s">
        <v>114</v>
      </c>
    </row>
    <row r="151" spans="1:11" ht="12.75">
      <c r="A151" s="692" t="s">
        <v>414</v>
      </c>
      <c r="B151" s="692"/>
      <c r="C151" s="692"/>
      <c r="D151" s="692"/>
      <c r="E151" s="692"/>
      <c r="F151" s="692"/>
      <c r="G151" s="692"/>
      <c r="H151" s="692"/>
      <c r="I151" s="692"/>
      <c r="J151" s="692"/>
      <c r="K151" s="692"/>
    </row>
    <row r="152" spans="1:11" s="149" customFormat="1" ht="18" customHeight="1">
      <c r="A152" s="144" t="s">
        <v>362</v>
      </c>
      <c r="B152" s="145" t="s">
        <v>181</v>
      </c>
      <c r="C152" s="691" t="s">
        <v>178</v>
      </c>
      <c r="D152" s="691"/>
      <c r="E152" s="691"/>
      <c r="F152" s="691"/>
      <c r="G152" s="691"/>
      <c r="H152" s="691"/>
      <c r="I152" s="691"/>
      <c r="J152" s="148">
        <v>1</v>
      </c>
      <c r="K152" s="153" t="s">
        <v>114</v>
      </c>
    </row>
    <row r="153" spans="1:11" ht="12.75">
      <c r="A153" s="692" t="s">
        <v>413</v>
      </c>
      <c r="B153" s="692"/>
      <c r="C153" s="692"/>
      <c r="D153" s="692"/>
      <c r="E153" s="692"/>
      <c r="F153" s="692"/>
      <c r="G153" s="692"/>
      <c r="H153" s="692"/>
      <c r="I153" s="692"/>
      <c r="J153" s="692"/>
      <c r="K153" s="692"/>
    </row>
    <row r="154" spans="1:11" s="149" customFormat="1" ht="18" customHeight="1">
      <c r="A154" s="144" t="s">
        <v>363</v>
      </c>
      <c r="B154" s="145" t="s">
        <v>180</v>
      </c>
      <c r="C154" s="691" t="s">
        <v>179</v>
      </c>
      <c r="D154" s="691"/>
      <c r="E154" s="691"/>
      <c r="F154" s="691"/>
      <c r="G154" s="691"/>
      <c r="H154" s="691"/>
      <c r="I154" s="691"/>
      <c r="J154" s="148">
        <v>3</v>
      </c>
      <c r="K154" s="153" t="s">
        <v>114</v>
      </c>
    </row>
    <row r="155" spans="1:11" ht="12.75">
      <c r="A155" s="692" t="s">
        <v>425</v>
      </c>
      <c r="B155" s="692"/>
      <c r="C155" s="692"/>
      <c r="D155" s="692"/>
      <c r="E155" s="692"/>
      <c r="F155" s="692"/>
      <c r="G155" s="692"/>
      <c r="H155" s="692"/>
      <c r="I155" s="692"/>
      <c r="J155" s="692"/>
      <c r="K155" s="692"/>
    </row>
    <row r="156" spans="1:11" s="149" customFormat="1" ht="18" customHeight="1">
      <c r="A156" s="144" t="s">
        <v>364</v>
      </c>
      <c r="B156" s="145" t="s">
        <v>183</v>
      </c>
      <c r="C156" s="691" t="s">
        <v>182</v>
      </c>
      <c r="D156" s="691"/>
      <c r="E156" s="691"/>
      <c r="F156" s="691"/>
      <c r="G156" s="691"/>
      <c r="H156" s="691"/>
      <c r="I156" s="691"/>
      <c r="J156" s="148">
        <v>2</v>
      </c>
      <c r="K156" s="153" t="s">
        <v>114</v>
      </c>
    </row>
    <row r="157" spans="1:11" ht="12.75">
      <c r="A157" s="692" t="s">
        <v>419</v>
      </c>
      <c r="B157" s="692"/>
      <c r="C157" s="692"/>
      <c r="D157" s="692"/>
      <c r="E157" s="692"/>
      <c r="F157" s="692"/>
      <c r="G157" s="692"/>
      <c r="H157" s="692"/>
      <c r="I157" s="692"/>
      <c r="J157" s="692"/>
      <c r="K157" s="692"/>
    </row>
    <row r="158" spans="1:11" s="149" customFormat="1" ht="18" customHeight="1">
      <c r="A158" s="144" t="s">
        <v>522</v>
      </c>
      <c r="B158" s="236" t="s">
        <v>469</v>
      </c>
      <c r="C158" s="691" t="s">
        <v>470</v>
      </c>
      <c r="D158" s="691"/>
      <c r="E158" s="691"/>
      <c r="F158" s="691"/>
      <c r="G158" s="691"/>
      <c r="H158" s="691"/>
      <c r="I158" s="691"/>
      <c r="J158" s="148">
        <v>335.75</v>
      </c>
      <c r="K158" s="153" t="s">
        <v>65</v>
      </c>
    </row>
    <row r="159" spans="1:11" ht="12.75">
      <c r="A159" s="692" t="s">
        <v>421</v>
      </c>
      <c r="B159" s="692"/>
      <c r="C159" s="692"/>
      <c r="D159" s="692"/>
      <c r="E159" s="692"/>
      <c r="F159" s="692"/>
      <c r="G159" s="692"/>
      <c r="H159" s="692"/>
      <c r="I159" s="692"/>
      <c r="J159" s="692"/>
      <c r="K159" s="692"/>
    </row>
    <row r="160" spans="1:11" ht="12.75">
      <c r="A160" s="123">
        <v>8</v>
      </c>
      <c r="B160" s="663" t="s">
        <v>184</v>
      </c>
      <c r="C160" s="664"/>
      <c r="D160" s="664"/>
      <c r="E160" s="664"/>
      <c r="F160" s="664"/>
      <c r="G160" s="664"/>
      <c r="H160" s="664"/>
      <c r="I160" s="664"/>
      <c r="J160" s="664"/>
      <c r="K160" s="665"/>
    </row>
    <row r="161" spans="1:11" s="149" customFormat="1" ht="18.75" customHeight="1">
      <c r="A161" s="144" t="s">
        <v>314</v>
      </c>
      <c r="B161" s="146" t="s">
        <v>188</v>
      </c>
      <c r="C161" s="691" t="s">
        <v>185</v>
      </c>
      <c r="D161" s="691"/>
      <c r="E161" s="691"/>
      <c r="F161" s="691"/>
      <c r="G161" s="691"/>
      <c r="H161" s="691"/>
      <c r="I161" s="691"/>
      <c r="J161" s="148">
        <v>3.24</v>
      </c>
      <c r="K161" s="153" t="s">
        <v>65</v>
      </c>
    </row>
    <row r="162" spans="1:11" ht="12.75">
      <c r="A162" s="692" t="s">
        <v>421</v>
      </c>
      <c r="B162" s="692"/>
      <c r="C162" s="692"/>
      <c r="D162" s="692"/>
      <c r="E162" s="692"/>
      <c r="F162" s="692"/>
      <c r="G162" s="692"/>
      <c r="H162" s="692"/>
      <c r="I162" s="692"/>
      <c r="J162" s="692"/>
      <c r="K162" s="692"/>
    </row>
    <row r="163" spans="1:11" s="149" customFormat="1" ht="18" customHeight="1">
      <c r="A163" s="144" t="s">
        <v>365</v>
      </c>
      <c r="B163" s="146" t="s">
        <v>187</v>
      </c>
      <c r="C163" s="691" t="s">
        <v>186</v>
      </c>
      <c r="D163" s="691"/>
      <c r="E163" s="691"/>
      <c r="F163" s="691"/>
      <c r="G163" s="691"/>
      <c r="H163" s="691"/>
      <c r="I163" s="691"/>
      <c r="J163" s="148">
        <v>27.68</v>
      </c>
      <c r="K163" s="153" t="s">
        <v>65</v>
      </c>
    </row>
    <row r="164" spans="1:11" ht="12.75">
      <c r="A164" s="692" t="s">
        <v>421</v>
      </c>
      <c r="B164" s="692"/>
      <c r="C164" s="692"/>
      <c r="D164" s="692"/>
      <c r="E164" s="692"/>
      <c r="F164" s="692"/>
      <c r="G164" s="692"/>
      <c r="H164" s="692"/>
      <c r="I164" s="692"/>
      <c r="J164" s="692"/>
      <c r="K164" s="692"/>
    </row>
    <row r="165" spans="1:11" s="149" customFormat="1" ht="18.75" customHeight="1">
      <c r="A165" s="144" t="s">
        <v>366</v>
      </c>
      <c r="B165" s="146" t="s">
        <v>190</v>
      </c>
      <c r="C165" s="691" t="s">
        <v>189</v>
      </c>
      <c r="D165" s="691"/>
      <c r="E165" s="691"/>
      <c r="F165" s="691"/>
      <c r="G165" s="691"/>
      <c r="H165" s="691"/>
      <c r="I165" s="691"/>
      <c r="J165" s="148">
        <v>4.62</v>
      </c>
      <c r="K165" s="153" t="s">
        <v>65</v>
      </c>
    </row>
    <row r="166" spans="1:11" ht="12.75">
      <c r="A166" s="692" t="s">
        <v>421</v>
      </c>
      <c r="B166" s="692"/>
      <c r="C166" s="692"/>
      <c r="D166" s="692"/>
      <c r="E166" s="692"/>
      <c r="F166" s="692"/>
      <c r="G166" s="692"/>
      <c r="H166" s="692"/>
      <c r="I166" s="692"/>
      <c r="J166" s="692"/>
      <c r="K166" s="692"/>
    </row>
    <row r="167" spans="1:11" s="149" customFormat="1" ht="20.25" customHeight="1">
      <c r="A167" s="144" t="s">
        <v>367</v>
      </c>
      <c r="B167" s="146" t="s">
        <v>192</v>
      </c>
      <c r="C167" s="691" t="s">
        <v>191</v>
      </c>
      <c r="D167" s="691"/>
      <c r="E167" s="691"/>
      <c r="F167" s="691"/>
      <c r="G167" s="691"/>
      <c r="H167" s="691"/>
      <c r="I167" s="691"/>
      <c r="J167" s="148">
        <v>3.35</v>
      </c>
      <c r="K167" s="153" t="s">
        <v>65</v>
      </c>
    </row>
    <row r="168" spans="1:11" ht="12.75">
      <c r="A168" s="692" t="s">
        <v>421</v>
      </c>
      <c r="B168" s="692"/>
      <c r="C168" s="692"/>
      <c r="D168" s="692"/>
      <c r="E168" s="692"/>
      <c r="F168" s="692"/>
      <c r="G168" s="692"/>
      <c r="H168" s="692"/>
      <c r="I168" s="692"/>
      <c r="J168" s="692"/>
      <c r="K168" s="692"/>
    </row>
    <row r="169" spans="1:11" s="149" customFormat="1" ht="17.25" customHeight="1">
      <c r="A169" s="144" t="s">
        <v>368</v>
      </c>
      <c r="B169" s="146" t="s">
        <v>193</v>
      </c>
      <c r="C169" s="691" t="s">
        <v>194</v>
      </c>
      <c r="D169" s="691"/>
      <c r="E169" s="691"/>
      <c r="F169" s="691"/>
      <c r="G169" s="691"/>
      <c r="H169" s="691"/>
      <c r="I169" s="691"/>
      <c r="J169" s="148">
        <v>30.94</v>
      </c>
      <c r="K169" s="153" t="s">
        <v>65</v>
      </c>
    </row>
    <row r="170" spans="1:11" s="65" customFormat="1" ht="12.75">
      <c r="A170" s="692" t="s">
        <v>421</v>
      </c>
      <c r="B170" s="692"/>
      <c r="C170" s="692"/>
      <c r="D170" s="692"/>
      <c r="E170" s="692"/>
      <c r="F170" s="692"/>
      <c r="G170" s="692"/>
      <c r="H170" s="692"/>
      <c r="I170" s="692"/>
      <c r="J170" s="692"/>
      <c r="K170" s="692"/>
    </row>
    <row r="171" spans="1:11" s="149" customFormat="1" ht="17.25" customHeight="1">
      <c r="A171" s="144" t="s">
        <v>369</v>
      </c>
      <c r="B171" s="146" t="s">
        <v>196</v>
      </c>
      <c r="C171" s="691" t="s">
        <v>195</v>
      </c>
      <c r="D171" s="691"/>
      <c r="E171" s="691"/>
      <c r="F171" s="691"/>
      <c r="G171" s="691"/>
      <c r="H171" s="691"/>
      <c r="I171" s="691"/>
      <c r="J171" s="148">
        <v>4</v>
      </c>
      <c r="K171" s="153" t="s">
        <v>114</v>
      </c>
    </row>
    <row r="172" spans="1:11" ht="12.75">
      <c r="A172" s="692" t="s">
        <v>426</v>
      </c>
      <c r="B172" s="692"/>
      <c r="C172" s="692"/>
      <c r="D172" s="692"/>
      <c r="E172" s="692"/>
      <c r="F172" s="692"/>
      <c r="G172" s="692"/>
      <c r="H172" s="692"/>
      <c r="I172" s="692"/>
      <c r="J172" s="692"/>
      <c r="K172" s="692"/>
    </row>
    <row r="173" spans="1:11" s="149" customFormat="1" ht="26.25" customHeight="1">
      <c r="A173" s="144" t="s">
        <v>370</v>
      </c>
      <c r="B173" s="146" t="s">
        <v>225</v>
      </c>
      <c r="C173" s="691" t="s">
        <v>224</v>
      </c>
      <c r="D173" s="691"/>
      <c r="E173" s="691"/>
      <c r="F173" s="691"/>
      <c r="G173" s="691"/>
      <c r="H173" s="691"/>
      <c r="I173" s="691"/>
      <c r="J173" s="148">
        <v>3</v>
      </c>
      <c r="K173" s="153" t="s">
        <v>114</v>
      </c>
    </row>
    <row r="174" spans="1:11" ht="12.75">
      <c r="A174" s="692" t="s">
        <v>425</v>
      </c>
      <c r="B174" s="692"/>
      <c r="C174" s="692"/>
      <c r="D174" s="692"/>
      <c r="E174" s="692"/>
      <c r="F174" s="692"/>
      <c r="G174" s="692"/>
      <c r="H174" s="692"/>
      <c r="I174" s="692"/>
      <c r="J174" s="692"/>
      <c r="K174" s="692"/>
    </row>
    <row r="175" spans="1:11" s="149" customFormat="1" ht="27" customHeight="1">
      <c r="A175" s="144" t="s">
        <v>371</v>
      </c>
      <c r="B175" s="146" t="s">
        <v>198</v>
      </c>
      <c r="C175" s="691" t="s">
        <v>197</v>
      </c>
      <c r="D175" s="691"/>
      <c r="E175" s="691"/>
      <c r="F175" s="691"/>
      <c r="G175" s="691"/>
      <c r="H175" s="691"/>
      <c r="I175" s="691"/>
      <c r="J175" s="148">
        <v>1</v>
      </c>
      <c r="K175" s="153" t="s">
        <v>114</v>
      </c>
    </row>
    <row r="176" spans="1:11" ht="12.75">
      <c r="A176" s="692" t="s">
        <v>413</v>
      </c>
      <c r="B176" s="692"/>
      <c r="C176" s="692"/>
      <c r="D176" s="692"/>
      <c r="E176" s="692"/>
      <c r="F176" s="692"/>
      <c r="G176" s="692"/>
      <c r="H176" s="692"/>
      <c r="I176" s="692"/>
      <c r="J176" s="692"/>
      <c r="K176" s="692"/>
    </row>
    <row r="177" spans="1:11" s="149" customFormat="1" ht="17.25" customHeight="1">
      <c r="A177" s="144" t="s">
        <v>372</v>
      </c>
      <c r="B177" s="146" t="s">
        <v>200</v>
      </c>
      <c r="C177" s="691" t="s">
        <v>199</v>
      </c>
      <c r="D177" s="691"/>
      <c r="E177" s="691"/>
      <c r="F177" s="691"/>
      <c r="G177" s="691"/>
      <c r="H177" s="691"/>
      <c r="I177" s="691"/>
      <c r="J177" s="148">
        <v>1</v>
      </c>
      <c r="K177" s="153" t="s">
        <v>114</v>
      </c>
    </row>
    <row r="178" spans="1:11" ht="17.25" customHeight="1">
      <c r="A178" s="692" t="s">
        <v>413</v>
      </c>
      <c r="B178" s="692"/>
      <c r="C178" s="692"/>
      <c r="D178" s="692"/>
      <c r="E178" s="692"/>
      <c r="F178" s="692"/>
      <c r="G178" s="692"/>
      <c r="H178" s="692"/>
      <c r="I178" s="692"/>
      <c r="J178" s="692"/>
      <c r="K178" s="692"/>
    </row>
    <row r="179" spans="1:11" s="149" customFormat="1" ht="20.25" customHeight="1">
      <c r="A179" s="144" t="s">
        <v>373</v>
      </c>
      <c r="B179" s="146" t="s">
        <v>201</v>
      </c>
      <c r="C179" s="691" t="s">
        <v>242</v>
      </c>
      <c r="D179" s="691"/>
      <c r="E179" s="691"/>
      <c r="F179" s="691"/>
      <c r="G179" s="691"/>
      <c r="H179" s="691"/>
      <c r="I179" s="691"/>
      <c r="J179" s="148">
        <v>1</v>
      </c>
      <c r="K179" s="153" t="s">
        <v>114</v>
      </c>
    </row>
    <row r="180" spans="1:11" ht="12.75">
      <c r="A180" s="692" t="s">
        <v>426</v>
      </c>
      <c r="B180" s="692"/>
      <c r="C180" s="692"/>
      <c r="D180" s="692"/>
      <c r="E180" s="692"/>
      <c r="F180" s="692"/>
      <c r="G180" s="692"/>
      <c r="H180" s="692"/>
      <c r="I180" s="692"/>
      <c r="J180" s="692"/>
      <c r="K180" s="692"/>
    </row>
    <row r="181" spans="1:11" s="149" customFormat="1" ht="26.25" customHeight="1">
      <c r="A181" s="144" t="s">
        <v>374</v>
      </c>
      <c r="B181" s="146" t="s">
        <v>246</v>
      </c>
      <c r="C181" s="691" t="s">
        <v>243</v>
      </c>
      <c r="D181" s="691"/>
      <c r="E181" s="691"/>
      <c r="F181" s="691"/>
      <c r="G181" s="691"/>
      <c r="H181" s="691"/>
      <c r="I181" s="691"/>
      <c r="J181" s="148">
        <v>1</v>
      </c>
      <c r="K181" s="153" t="s">
        <v>114</v>
      </c>
    </row>
    <row r="182" spans="1:11" ht="12.75">
      <c r="A182" s="692" t="s">
        <v>413</v>
      </c>
      <c r="B182" s="692"/>
      <c r="C182" s="692"/>
      <c r="D182" s="692"/>
      <c r="E182" s="692"/>
      <c r="F182" s="692"/>
      <c r="G182" s="692"/>
      <c r="H182" s="692"/>
      <c r="I182" s="692"/>
      <c r="J182" s="692"/>
      <c r="K182" s="692"/>
    </row>
    <row r="183" spans="1:11" s="149" customFormat="1" ht="23.25" customHeight="1">
      <c r="A183" s="144" t="s">
        <v>375</v>
      </c>
      <c r="B183" s="146" t="s">
        <v>245</v>
      </c>
      <c r="C183" s="691" t="s">
        <v>244</v>
      </c>
      <c r="D183" s="691"/>
      <c r="E183" s="691"/>
      <c r="F183" s="691"/>
      <c r="G183" s="691"/>
      <c r="H183" s="691"/>
      <c r="I183" s="691"/>
      <c r="J183" s="148">
        <v>1</v>
      </c>
      <c r="K183" s="153" t="s">
        <v>114</v>
      </c>
    </row>
    <row r="184" spans="1:11" ht="12.75">
      <c r="A184" s="692" t="s">
        <v>413</v>
      </c>
      <c r="B184" s="692"/>
      <c r="C184" s="692"/>
      <c r="D184" s="692"/>
      <c r="E184" s="692"/>
      <c r="F184" s="692"/>
      <c r="G184" s="692"/>
      <c r="H184" s="692"/>
      <c r="I184" s="692"/>
      <c r="J184" s="692"/>
      <c r="K184" s="692"/>
    </row>
    <row r="185" spans="1:11" s="149" customFormat="1" ht="20.25" customHeight="1">
      <c r="A185" s="144" t="s">
        <v>376</v>
      </c>
      <c r="B185" s="146" t="s">
        <v>203</v>
      </c>
      <c r="C185" s="691" t="s">
        <v>202</v>
      </c>
      <c r="D185" s="691"/>
      <c r="E185" s="691"/>
      <c r="F185" s="691"/>
      <c r="G185" s="691"/>
      <c r="H185" s="691"/>
      <c r="I185" s="691"/>
      <c r="J185" s="148">
        <v>6</v>
      </c>
      <c r="K185" s="153" t="s">
        <v>114</v>
      </c>
    </row>
    <row r="186" spans="1:11" ht="12.75">
      <c r="A186" s="692" t="s">
        <v>414</v>
      </c>
      <c r="B186" s="692"/>
      <c r="C186" s="692"/>
      <c r="D186" s="692"/>
      <c r="E186" s="692"/>
      <c r="F186" s="692"/>
      <c r="G186" s="692"/>
      <c r="H186" s="692"/>
      <c r="I186" s="692"/>
      <c r="J186" s="692"/>
      <c r="K186" s="692"/>
    </row>
    <row r="187" spans="1:11" s="149" customFormat="1" ht="17.25" customHeight="1">
      <c r="A187" s="144" t="s">
        <v>377</v>
      </c>
      <c r="B187" s="146" t="s">
        <v>205</v>
      </c>
      <c r="C187" s="691" t="s">
        <v>204</v>
      </c>
      <c r="D187" s="691"/>
      <c r="E187" s="691"/>
      <c r="F187" s="691"/>
      <c r="G187" s="691"/>
      <c r="H187" s="691"/>
      <c r="I187" s="691"/>
      <c r="J187" s="148">
        <v>6</v>
      </c>
      <c r="K187" s="153" t="s">
        <v>114</v>
      </c>
    </row>
    <row r="188" spans="1:11" ht="12.75">
      <c r="A188" s="692" t="s">
        <v>414</v>
      </c>
      <c r="B188" s="692"/>
      <c r="C188" s="692"/>
      <c r="D188" s="692"/>
      <c r="E188" s="692"/>
      <c r="F188" s="692"/>
      <c r="G188" s="692"/>
      <c r="H188" s="692"/>
      <c r="I188" s="692"/>
      <c r="J188" s="692"/>
      <c r="K188" s="692"/>
    </row>
    <row r="189" spans="1:11" s="149" customFormat="1" ht="18" customHeight="1">
      <c r="A189" s="144" t="s">
        <v>378</v>
      </c>
      <c r="B189" s="146" t="s">
        <v>207</v>
      </c>
      <c r="C189" s="691" t="s">
        <v>206</v>
      </c>
      <c r="D189" s="691"/>
      <c r="E189" s="691"/>
      <c r="F189" s="691"/>
      <c r="G189" s="691"/>
      <c r="H189" s="691"/>
      <c r="I189" s="691"/>
      <c r="J189" s="148">
        <v>6</v>
      </c>
      <c r="K189" s="153" t="s">
        <v>114</v>
      </c>
    </row>
    <row r="190" spans="1:11" ht="12.75">
      <c r="A190" s="692" t="s">
        <v>414</v>
      </c>
      <c r="B190" s="692"/>
      <c r="C190" s="692"/>
      <c r="D190" s="692"/>
      <c r="E190" s="692"/>
      <c r="F190" s="692"/>
      <c r="G190" s="692"/>
      <c r="H190" s="692"/>
      <c r="I190" s="692"/>
      <c r="J190" s="692"/>
      <c r="K190" s="692"/>
    </row>
    <row r="191" spans="1:11" s="149" customFormat="1" ht="17.25" customHeight="1">
      <c r="A191" s="144" t="s">
        <v>379</v>
      </c>
      <c r="B191" s="146" t="s">
        <v>209</v>
      </c>
      <c r="C191" s="691" t="s">
        <v>208</v>
      </c>
      <c r="D191" s="691"/>
      <c r="E191" s="691"/>
      <c r="F191" s="691"/>
      <c r="G191" s="691"/>
      <c r="H191" s="691"/>
      <c r="I191" s="691"/>
      <c r="J191" s="148">
        <v>6</v>
      </c>
      <c r="K191" s="153" t="s">
        <v>114</v>
      </c>
    </row>
    <row r="192" spans="1:11" ht="12.75">
      <c r="A192" s="692" t="s">
        <v>414</v>
      </c>
      <c r="B192" s="692"/>
      <c r="C192" s="692"/>
      <c r="D192" s="692"/>
      <c r="E192" s="692"/>
      <c r="F192" s="692"/>
      <c r="G192" s="692"/>
      <c r="H192" s="692"/>
      <c r="I192" s="692"/>
      <c r="J192" s="692"/>
      <c r="K192" s="692"/>
    </row>
    <row r="193" spans="1:11" s="149" customFormat="1" ht="20.25" customHeight="1">
      <c r="A193" s="144" t="s">
        <v>380</v>
      </c>
      <c r="B193" s="146" t="s">
        <v>211</v>
      </c>
      <c r="C193" s="691" t="s">
        <v>210</v>
      </c>
      <c r="D193" s="691"/>
      <c r="E193" s="691"/>
      <c r="F193" s="691"/>
      <c r="G193" s="691"/>
      <c r="H193" s="691"/>
      <c r="I193" s="691"/>
      <c r="J193" s="148">
        <v>2</v>
      </c>
      <c r="K193" s="153" t="s">
        <v>114</v>
      </c>
    </row>
    <row r="194" spans="1:11" ht="12.75">
      <c r="A194" s="692" t="s">
        <v>419</v>
      </c>
      <c r="B194" s="692"/>
      <c r="C194" s="692"/>
      <c r="D194" s="692"/>
      <c r="E194" s="692"/>
      <c r="F194" s="692"/>
      <c r="G194" s="692"/>
      <c r="H194" s="692"/>
      <c r="I194" s="692"/>
      <c r="J194" s="692"/>
      <c r="K194" s="692"/>
    </row>
    <row r="195" spans="1:11" s="149" customFormat="1" ht="12.75">
      <c r="A195" s="144" t="s">
        <v>381</v>
      </c>
      <c r="B195" s="146" t="s">
        <v>213</v>
      </c>
      <c r="C195" s="691" t="s">
        <v>212</v>
      </c>
      <c r="D195" s="691"/>
      <c r="E195" s="691"/>
      <c r="F195" s="691"/>
      <c r="G195" s="691"/>
      <c r="H195" s="691"/>
      <c r="I195" s="691"/>
      <c r="J195" s="148">
        <v>1</v>
      </c>
      <c r="K195" s="153" t="s">
        <v>114</v>
      </c>
    </row>
    <row r="196" spans="1:11" ht="12.75">
      <c r="A196" s="692" t="s">
        <v>413</v>
      </c>
      <c r="B196" s="692"/>
      <c r="C196" s="692"/>
      <c r="D196" s="692"/>
      <c r="E196" s="692"/>
      <c r="F196" s="692"/>
      <c r="G196" s="692"/>
      <c r="H196" s="692"/>
      <c r="I196" s="692"/>
      <c r="J196" s="692"/>
      <c r="K196" s="692"/>
    </row>
    <row r="197" spans="1:11" s="149" customFormat="1" ht="12.75" customHeight="1">
      <c r="A197" s="142" t="s">
        <v>382</v>
      </c>
      <c r="B197" s="139" t="s">
        <v>494</v>
      </c>
      <c r="C197" s="713" t="s">
        <v>493</v>
      </c>
      <c r="D197" s="713"/>
      <c r="E197" s="713"/>
      <c r="F197" s="713"/>
      <c r="G197" s="713"/>
      <c r="H197" s="713"/>
      <c r="I197" s="713"/>
      <c r="J197" s="140">
        <v>2</v>
      </c>
      <c r="K197" s="141" t="s">
        <v>114</v>
      </c>
    </row>
    <row r="198" spans="1:11" ht="12.75">
      <c r="A198" s="692" t="s">
        <v>419</v>
      </c>
      <c r="B198" s="692"/>
      <c r="C198" s="692"/>
      <c r="D198" s="692"/>
      <c r="E198" s="692"/>
      <c r="F198" s="692"/>
      <c r="G198" s="692"/>
      <c r="H198" s="692"/>
      <c r="I198" s="692"/>
      <c r="J198" s="692"/>
      <c r="K198" s="692"/>
    </row>
    <row r="199" spans="1:11" s="149" customFormat="1" ht="17.25" customHeight="1">
      <c r="A199" s="142" t="s">
        <v>383</v>
      </c>
      <c r="B199" s="139" t="s">
        <v>496</v>
      </c>
      <c r="C199" s="713" t="s">
        <v>495</v>
      </c>
      <c r="D199" s="713"/>
      <c r="E199" s="713"/>
      <c r="F199" s="713"/>
      <c r="G199" s="713"/>
      <c r="H199" s="713"/>
      <c r="I199" s="713"/>
      <c r="J199" s="140">
        <v>2</v>
      </c>
      <c r="K199" s="141" t="s">
        <v>114</v>
      </c>
    </row>
    <row r="200" spans="1:11" ht="12.75">
      <c r="A200" s="692" t="s">
        <v>419</v>
      </c>
      <c r="B200" s="692"/>
      <c r="C200" s="692"/>
      <c r="D200" s="692"/>
      <c r="E200" s="692"/>
      <c r="F200" s="692"/>
      <c r="G200" s="692"/>
      <c r="H200" s="692"/>
      <c r="I200" s="692"/>
      <c r="J200" s="692"/>
      <c r="K200" s="692"/>
    </row>
    <row r="201" spans="1:11" s="149" customFormat="1" ht="12.75" customHeight="1">
      <c r="A201" s="142" t="s">
        <v>384</v>
      </c>
      <c r="B201" s="139" t="s">
        <v>498</v>
      </c>
      <c r="C201" s="713" t="s">
        <v>497</v>
      </c>
      <c r="D201" s="713"/>
      <c r="E201" s="713"/>
      <c r="F201" s="713"/>
      <c r="G201" s="713"/>
      <c r="H201" s="713"/>
      <c r="I201" s="713"/>
      <c r="J201" s="140">
        <v>4</v>
      </c>
      <c r="K201" s="141" t="s">
        <v>114</v>
      </c>
    </row>
    <row r="202" spans="1:11" ht="12.75">
      <c r="A202" s="692" t="s">
        <v>426</v>
      </c>
      <c r="B202" s="692"/>
      <c r="C202" s="692"/>
      <c r="D202" s="692"/>
      <c r="E202" s="692"/>
      <c r="F202" s="692"/>
      <c r="G202" s="692"/>
      <c r="H202" s="692"/>
      <c r="I202" s="692"/>
      <c r="J202" s="692"/>
      <c r="K202" s="692"/>
    </row>
    <row r="203" spans="1:11" ht="12.75">
      <c r="A203" s="123">
        <v>9</v>
      </c>
      <c r="B203" s="663" t="s">
        <v>391</v>
      </c>
      <c r="C203" s="664"/>
      <c r="D203" s="664"/>
      <c r="E203" s="664"/>
      <c r="F203" s="664"/>
      <c r="G203" s="664"/>
      <c r="H203" s="664"/>
      <c r="I203" s="664"/>
      <c r="J203" s="664"/>
      <c r="K203" s="665"/>
    </row>
    <row r="204" spans="1:11" s="149" customFormat="1" ht="12.75">
      <c r="A204" s="144" t="s">
        <v>312</v>
      </c>
      <c r="B204" s="146" t="s">
        <v>134</v>
      </c>
      <c r="C204" s="691" t="s">
        <v>133</v>
      </c>
      <c r="D204" s="691"/>
      <c r="E204" s="691"/>
      <c r="F204" s="691"/>
      <c r="G204" s="691"/>
      <c r="H204" s="691"/>
      <c r="I204" s="691"/>
      <c r="J204" s="148">
        <v>125.15</v>
      </c>
      <c r="K204" s="153" t="s">
        <v>65</v>
      </c>
    </row>
    <row r="205" spans="1:11" ht="12.75">
      <c r="A205" s="692" t="s">
        <v>421</v>
      </c>
      <c r="B205" s="692"/>
      <c r="C205" s="692"/>
      <c r="D205" s="692"/>
      <c r="E205" s="692"/>
      <c r="F205" s="692"/>
      <c r="G205" s="692"/>
      <c r="H205" s="692"/>
      <c r="I205" s="692"/>
      <c r="J205" s="692"/>
      <c r="K205" s="692"/>
    </row>
    <row r="206" spans="1:11" ht="12.75">
      <c r="A206" s="117" t="s">
        <v>313</v>
      </c>
      <c r="B206" s="118"/>
      <c r="C206" s="688" t="s">
        <v>254</v>
      </c>
      <c r="D206" s="689"/>
      <c r="E206" s="689"/>
      <c r="F206" s="689"/>
      <c r="G206" s="689"/>
      <c r="H206" s="689"/>
      <c r="I206" s="690"/>
      <c r="J206" s="119"/>
      <c r="K206" s="120"/>
    </row>
    <row r="207" spans="1:11" s="149" customFormat="1" ht="16.5" customHeight="1">
      <c r="A207" s="144" t="s">
        <v>385</v>
      </c>
      <c r="B207" s="253" t="s">
        <v>550</v>
      </c>
      <c r="C207" s="696" t="s">
        <v>551</v>
      </c>
      <c r="D207" s="702"/>
      <c r="E207" s="702"/>
      <c r="F207" s="702"/>
      <c r="G207" s="702"/>
      <c r="H207" s="702"/>
      <c r="I207" s="703"/>
      <c r="J207" s="153">
        <v>114</v>
      </c>
      <c r="K207" s="153" t="s">
        <v>63</v>
      </c>
    </row>
    <row r="208" spans="1:13" ht="12.75">
      <c r="A208" s="692" t="s">
        <v>485</v>
      </c>
      <c r="B208" s="692"/>
      <c r="C208" s="692"/>
      <c r="D208" s="692"/>
      <c r="E208" s="692"/>
      <c r="F208" s="692"/>
      <c r="G208" s="692"/>
      <c r="H208" s="692"/>
      <c r="I208" s="692"/>
      <c r="J208" s="692"/>
      <c r="K208" s="692"/>
      <c r="M208">
        <f>(6*4.5*0.1)+(12*3*0.1)+(4*6*0.1)+(10.5*3*0.1)</f>
        <v>11.850000000000001</v>
      </c>
    </row>
    <row r="209" spans="1:11" s="149" customFormat="1" ht="18" customHeight="1">
      <c r="A209" s="144" t="s">
        <v>386</v>
      </c>
      <c r="B209" s="146" t="s">
        <v>259</v>
      </c>
      <c r="C209" s="696" t="s">
        <v>258</v>
      </c>
      <c r="D209" s="702"/>
      <c r="E209" s="702"/>
      <c r="F209" s="702"/>
      <c r="G209" s="702"/>
      <c r="H209" s="702"/>
      <c r="I209" s="703"/>
      <c r="J209" s="153">
        <v>114</v>
      </c>
      <c r="K209" s="153" t="s">
        <v>63</v>
      </c>
    </row>
    <row r="210" spans="1:13" ht="12.75">
      <c r="A210" s="718" t="s">
        <v>485</v>
      </c>
      <c r="B210" s="699"/>
      <c r="C210" s="699"/>
      <c r="D210" s="699"/>
      <c r="E210" s="699"/>
      <c r="F210" s="699"/>
      <c r="G210" s="699"/>
      <c r="H210" s="699"/>
      <c r="I210" s="699"/>
      <c r="J210" s="699"/>
      <c r="K210" s="700"/>
      <c r="M210">
        <f>(6*4.5)+(12*3)+(4*6)+(10.5*3)-(1.5*1.5*2)</f>
        <v>114</v>
      </c>
    </row>
    <row r="211" spans="1:11" s="149" customFormat="1" ht="12.75">
      <c r="A211" s="144" t="s">
        <v>387</v>
      </c>
      <c r="B211" s="146" t="s">
        <v>256</v>
      </c>
      <c r="C211" s="701" t="s">
        <v>253</v>
      </c>
      <c r="D211" s="702"/>
      <c r="E211" s="702"/>
      <c r="F211" s="702"/>
      <c r="G211" s="702"/>
      <c r="H211" s="702"/>
      <c r="I211" s="703"/>
      <c r="J211" s="153">
        <v>114</v>
      </c>
      <c r="K211" s="153" t="s">
        <v>63</v>
      </c>
    </row>
    <row r="212" spans="1:11" ht="12.75">
      <c r="A212" s="718" t="s">
        <v>485</v>
      </c>
      <c r="B212" s="699"/>
      <c r="C212" s="699"/>
      <c r="D212" s="699"/>
      <c r="E212" s="699"/>
      <c r="F212" s="699"/>
      <c r="G212" s="699"/>
      <c r="H212" s="699"/>
      <c r="I212" s="699"/>
      <c r="J212" s="699"/>
      <c r="K212" s="700"/>
    </row>
    <row r="213" spans="1:11" s="149" customFormat="1" ht="12.75">
      <c r="A213" s="144" t="s">
        <v>388</v>
      </c>
      <c r="B213" s="146" t="s">
        <v>257</v>
      </c>
      <c r="C213" s="701" t="s">
        <v>255</v>
      </c>
      <c r="D213" s="702"/>
      <c r="E213" s="702"/>
      <c r="F213" s="702"/>
      <c r="G213" s="702"/>
      <c r="H213" s="702"/>
      <c r="I213" s="703"/>
      <c r="J213" s="153">
        <v>114</v>
      </c>
      <c r="K213" s="153" t="s">
        <v>63</v>
      </c>
    </row>
    <row r="214" spans="1:11" ht="12.75">
      <c r="A214" s="718" t="s">
        <v>485</v>
      </c>
      <c r="B214" s="699"/>
      <c r="C214" s="699"/>
      <c r="D214" s="699"/>
      <c r="E214" s="699"/>
      <c r="F214" s="699"/>
      <c r="G214" s="699"/>
      <c r="H214" s="699"/>
      <c r="I214" s="699"/>
      <c r="J214" s="699"/>
      <c r="K214" s="700"/>
    </row>
    <row r="215" spans="1:11" ht="26.25" customHeight="1">
      <c r="A215" s="144" t="s">
        <v>553</v>
      </c>
      <c r="B215" s="253" t="s">
        <v>554</v>
      </c>
      <c r="C215" s="696" t="s">
        <v>555</v>
      </c>
      <c r="D215" s="697"/>
      <c r="E215" s="697"/>
      <c r="F215" s="697"/>
      <c r="G215" s="697"/>
      <c r="H215" s="697"/>
      <c r="I215" s="698"/>
      <c r="J215" s="153">
        <v>24.34</v>
      </c>
      <c r="K215" s="153" t="s">
        <v>63</v>
      </c>
    </row>
    <row r="216" spans="1:13" s="65" customFormat="1" ht="13.5" customHeight="1">
      <c r="A216" s="710" t="s">
        <v>557</v>
      </c>
      <c r="B216" s="711"/>
      <c r="C216" s="711"/>
      <c r="D216" s="711"/>
      <c r="E216" s="711"/>
      <c r="F216" s="711"/>
      <c r="G216" s="711"/>
      <c r="H216" s="711"/>
      <c r="I216" s="711"/>
      <c r="J216" s="711"/>
      <c r="K216" s="712"/>
      <c r="M216" s="65">
        <f>2.47*2+1.8*2+1.1*1.5+2.47*2+0.55*1.5+3*0.55+1.5*0.9+1.68*2+1.5*0.45+3*0.45</f>
        <v>24.340000000000003</v>
      </c>
    </row>
    <row r="217" spans="1:11" s="65" customFormat="1" ht="26.25" customHeight="1">
      <c r="A217" s="144" t="s">
        <v>558</v>
      </c>
      <c r="B217" s="253" t="s">
        <v>559</v>
      </c>
      <c r="C217" s="696" t="s">
        <v>560</v>
      </c>
      <c r="D217" s="697"/>
      <c r="E217" s="697"/>
      <c r="F217" s="697"/>
      <c r="G217" s="697"/>
      <c r="H217" s="697"/>
      <c r="I217" s="698"/>
      <c r="J217" s="153">
        <v>24.34</v>
      </c>
      <c r="K217" s="153" t="s">
        <v>63</v>
      </c>
    </row>
    <row r="218" spans="1:11" s="65" customFormat="1" ht="13.5" customHeight="1">
      <c r="A218" s="710" t="s">
        <v>557</v>
      </c>
      <c r="B218" s="711"/>
      <c r="C218" s="711"/>
      <c r="D218" s="711"/>
      <c r="E218" s="711"/>
      <c r="F218" s="711"/>
      <c r="G218" s="711"/>
      <c r="H218" s="711"/>
      <c r="I218" s="711"/>
      <c r="J218" s="711"/>
      <c r="K218" s="712"/>
    </row>
    <row r="219" spans="1:11" ht="12.75">
      <c r="A219" s="123">
        <v>10</v>
      </c>
      <c r="B219" s="663" t="s">
        <v>276</v>
      </c>
      <c r="C219" s="664"/>
      <c r="D219" s="664"/>
      <c r="E219" s="664"/>
      <c r="F219" s="664"/>
      <c r="G219" s="664"/>
      <c r="H219" s="664"/>
      <c r="I219" s="664"/>
      <c r="J219" s="664"/>
      <c r="K219" s="665"/>
    </row>
    <row r="220" spans="1:11" s="149" customFormat="1" ht="16.5" customHeight="1">
      <c r="A220" s="144" t="s">
        <v>247</v>
      </c>
      <c r="B220" s="146" t="s">
        <v>139</v>
      </c>
      <c r="C220" s="691" t="s">
        <v>136</v>
      </c>
      <c r="D220" s="691"/>
      <c r="E220" s="691"/>
      <c r="F220" s="691"/>
      <c r="G220" s="691"/>
      <c r="H220" s="691"/>
      <c r="I220" s="691"/>
      <c r="J220" s="148">
        <v>55.01</v>
      </c>
      <c r="K220" s="153" t="s">
        <v>63</v>
      </c>
    </row>
    <row r="221" spans="1:11" ht="12.75">
      <c r="A221" s="718" t="s">
        <v>428</v>
      </c>
      <c r="B221" s="699"/>
      <c r="C221" s="699"/>
      <c r="D221" s="699"/>
      <c r="E221" s="699"/>
      <c r="F221" s="699"/>
      <c r="G221" s="699"/>
      <c r="H221" s="699"/>
      <c r="I221" s="699"/>
      <c r="J221" s="699"/>
      <c r="K221" s="700"/>
    </row>
    <row r="222" spans="1:11" s="149" customFormat="1" ht="27.75" customHeight="1">
      <c r="A222" s="144" t="s">
        <v>248</v>
      </c>
      <c r="B222" s="151" t="s">
        <v>138</v>
      </c>
      <c r="C222" s="728" t="s">
        <v>137</v>
      </c>
      <c r="D222" s="728"/>
      <c r="E222" s="728"/>
      <c r="F222" s="728"/>
      <c r="G222" s="728"/>
      <c r="H222" s="728"/>
      <c r="I222" s="728"/>
      <c r="J222" s="148">
        <v>142.22</v>
      </c>
      <c r="K222" s="152" t="s">
        <v>63</v>
      </c>
    </row>
    <row r="223" spans="1:11" ht="12.75">
      <c r="A223" s="718" t="s">
        <v>427</v>
      </c>
      <c r="B223" s="699"/>
      <c r="C223" s="699"/>
      <c r="D223" s="699"/>
      <c r="E223" s="699"/>
      <c r="F223" s="699"/>
      <c r="G223" s="699"/>
      <c r="H223" s="699"/>
      <c r="I223" s="699"/>
      <c r="J223" s="699"/>
      <c r="K223" s="700"/>
    </row>
    <row r="224" spans="1:11" s="149" customFormat="1" ht="18.75" customHeight="1">
      <c r="A224" s="144" t="s">
        <v>249</v>
      </c>
      <c r="B224" s="146" t="s">
        <v>141</v>
      </c>
      <c r="C224" s="691" t="s">
        <v>140</v>
      </c>
      <c r="D224" s="691"/>
      <c r="E224" s="691"/>
      <c r="F224" s="691"/>
      <c r="G224" s="691"/>
      <c r="H224" s="691"/>
      <c r="I224" s="691"/>
      <c r="J224" s="148">
        <v>142.22</v>
      </c>
      <c r="K224" s="148" t="s">
        <v>63</v>
      </c>
    </row>
    <row r="225" spans="1:11" ht="12.75">
      <c r="A225" s="718" t="s">
        <v>427</v>
      </c>
      <c r="B225" s="699"/>
      <c r="C225" s="699"/>
      <c r="D225" s="699"/>
      <c r="E225" s="699"/>
      <c r="F225" s="699"/>
      <c r="G225" s="699"/>
      <c r="H225" s="699"/>
      <c r="I225" s="699"/>
      <c r="J225" s="699"/>
      <c r="K225" s="700"/>
    </row>
    <row r="226" spans="1:11" s="149" customFormat="1" ht="33.75" customHeight="1">
      <c r="A226" s="144" t="s">
        <v>252</v>
      </c>
      <c r="B226" s="146" t="s">
        <v>143</v>
      </c>
      <c r="C226" s="691" t="s">
        <v>142</v>
      </c>
      <c r="D226" s="691"/>
      <c r="E226" s="691"/>
      <c r="F226" s="691"/>
      <c r="G226" s="691"/>
      <c r="H226" s="691"/>
      <c r="I226" s="691"/>
      <c r="J226" s="148">
        <v>142.22</v>
      </c>
      <c r="K226" s="153" t="s">
        <v>63</v>
      </c>
    </row>
    <row r="227" spans="1:11" ht="12.75">
      <c r="A227" s="718" t="s">
        <v>427</v>
      </c>
      <c r="B227" s="699"/>
      <c r="C227" s="699"/>
      <c r="D227" s="699"/>
      <c r="E227" s="699"/>
      <c r="F227" s="699"/>
      <c r="G227" s="699"/>
      <c r="H227" s="699"/>
      <c r="I227" s="699"/>
      <c r="J227" s="699"/>
      <c r="K227" s="700"/>
    </row>
    <row r="228" spans="1:11" s="149" customFormat="1" ht="18" customHeight="1">
      <c r="A228" s="144" t="s">
        <v>260</v>
      </c>
      <c r="B228" s="146" t="s">
        <v>222</v>
      </c>
      <c r="C228" s="691" t="s">
        <v>429</v>
      </c>
      <c r="D228" s="691"/>
      <c r="E228" s="691"/>
      <c r="F228" s="691"/>
      <c r="G228" s="691"/>
      <c r="H228" s="691"/>
      <c r="I228" s="691"/>
      <c r="J228" s="148">
        <v>9.2</v>
      </c>
      <c r="K228" s="153" t="s">
        <v>63</v>
      </c>
    </row>
    <row r="229" spans="1:12" ht="12.75">
      <c r="A229" s="718" t="s">
        <v>430</v>
      </c>
      <c r="B229" s="699"/>
      <c r="C229" s="699"/>
      <c r="D229" s="699"/>
      <c r="E229" s="699"/>
      <c r="F229" s="699"/>
      <c r="G229" s="699"/>
      <c r="H229" s="699"/>
      <c r="I229" s="699"/>
      <c r="J229" s="699"/>
      <c r="K229" s="700"/>
      <c r="L229">
        <f>(1.35*2+1.9)*2</f>
        <v>9.2</v>
      </c>
    </row>
    <row r="230" spans="1:11" s="149" customFormat="1" ht="27" customHeight="1">
      <c r="A230" s="144" t="s">
        <v>261</v>
      </c>
      <c r="B230" s="146" t="s">
        <v>145</v>
      </c>
      <c r="C230" s="691" t="s">
        <v>144</v>
      </c>
      <c r="D230" s="691"/>
      <c r="E230" s="691"/>
      <c r="F230" s="691"/>
      <c r="G230" s="691"/>
      <c r="H230" s="691"/>
      <c r="I230" s="691"/>
      <c r="J230" s="148">
        <v>44.8</v>
      </c>
      <c r="K230" s="153" t="s">
        <v>63</v>
      </c>
    </row>
    <row r="231" spans="1:12" ht="12.75">
      <c r="A231" s="718" t="s">
        <v>432</v>
      </c>
      <c r="B231" s="699"/>
      <c r="C231" s="699"/>
      <c r="D231" s="699"/>
      <c r="E231" s="699"/>
      <c r="F231" s="699"/>
      <c r="G231" s="699"/>
      <c r="H231" s="699"/>
      <c r="I231" s="699"/>
      <c r="J231" s="699"/>
      <c r="K231" s="700"/>
      <c r="L231">
        <f>(2.3+1.78+4.88+1.78+2.3+4.88)*2.5</f>
        <v>44.8</v>
      </c>
    </row>
    <row r="232" spans="1:11" s="149" customFormat="1" ht="12.75" customHeight="1">
      <c r="A232" s="144" t="s">
        <v>290</v>
      </c>
      <c r="B232" s="208" t="s">
        <v>510</v>
      </c>
      <c r="C232" s="696" t="s">
        <v>511</v>
      </c>
      <c r="D232" s="697"/>
      <c r="E232" s="697"/>
      <c r="F232" s="697"/>
      <c r="G232" s="697"/>
      <c r="H232" s="697"/>
      <c r="I232" s="698"/>
      <c r="J232" s="148">
        <v>1.68</v>
      </c>
      <c r="K232" s="153" t="s">
        <v>63</v>
      </c>
    </row>
    <row r="233" spans="1:12" ht="12.75">
      <c r="A233" s="718" t="s">
        <v>514</v>
      </c>
      <c r="B233" s="699"/>
      <c r="C233" s="699"/>
      <c r="D233" s="699"/>
      <c r="E233" s="699"/>
      <c r="F233" s="699"/>
      <c r="G233" s="699"/>
      <c r="H233" s="699"/>
      <c r="I233" s="699"/>
      <c r="J233" s="699"/>
      <c r="K233" s="700"/>
      <c r="L233">
        <f>0.8*2.1</f>
        <v>1.6800000000000002</v>
      </c>
    </row>
    <row r="234" spans="1:11" s="149" customFormat="1" ht="12.75" customHeight="1">
      <c r="A234" s="144" t="s">
        <v>291</v>
      </c>
      <c r="B234" s="208" t="s">
        <v>512</v>
      </c>
      <c r="C234" s="696" t="s">
        <v>513</v>
      </c>
      <c r="D234" s="697"/>
      <c r="E234" s="697"/>
      <c r="F234" s="697"/>
      <c r="G234" s="697"/>
      <c r="H234" s="697"/>
      <c r="I234" s="698"/>
      <c r="J234" s="148">
        <v>5.5</v>
      </c>
      <c r="K234" s="153" t="s">
        <v>63</v>
      </c>
    </row>
    <row r="235" spans="1:12" ht="12.75">
      <c r="A235" s="699" t="s">
        <v>515</v>
      </c>
      <c r="B235" s="699"/>
      <c r="C235" s="699"/>
      <c r="D235" s="699"/>
      <c r="E235" s="699"/>
      <c r="F235" s="699"/>
      <c r="G235" s="699"/>
      <c r="H235" s="699"/>
      <c r="I235" s="699"/>
      <c r="J235" s="699"/>
      <c r="K235" s="700"/>
      <c r="L235">
        <f>(1.1*0.6+0.58*0.6+1.4*1+3.1*1)</f>
        <v>5.508</v>
      </c>
    </row>
    <row r="236" spans="1:11" s="149" customFormat="1" ht="17.25" customHeight="1">
      <c r="A236" s="144" t="s">
        <v>291</v>
      </c>
      <c r="B236" s="146" t="s">
        <v>147</v>
      </c>
      <c r="C236" s="691" t="s">
        <v>146</v>
      </c>
      <c r="D236" s="691"/>
      <c r="E236" s="691"/>
      <c r="F236" s="691"/>
      <c r="G236" s="691"/>
      <c r="H236" s="691"/>
      <c r="I236" s="691"/>
      <c r="J236" s="148">
        <v>17.92</v>
      </c>
      <c r="K236" s="153" t="s">
        <v>65</v>
      </c>
    </row>
    <row r="237" spans="1:12" ht="12.75">
      <c r="A237" s="718" t="s">
        <v>431</v>
      </c>
      <c r="B237" s="699"/>
      <c r="C237" s="699"/>
      <c r="D237" s="699"/>
      <c r="E237" s="699"/>
      <c r="F237" s="699"/>
      <c r="G237" s="699"/>
      <c r="H237" s="699"/>
      <c r="I237" s="699"/>
      <c r="J237" s="699"/>
      <c r="K237" s="700"/>
      <c r="L237">
        <f>(2.3+1.78+4.88+1.78+2.3+4.88)</f>
        <v>17.919999999999998</v>
      </c>
    </row>
    <row r="238" spans="1:11" s="149" customFormat="1" ht="27.75" customHeight="1">
      <c r="A238" s="144" t="s">
        <v>292</v>
      </c>
      <c r="B238" s="146" t="s">
        <v>148</v>
      </c>
      <c r="C238" s="691" t="s">
        <v>433</v>
      </c>
      <c r="D238" s="691"/>
      <c r="E238" s="691"/>
      <c r="F238" s="691"/>
      <c r="G238" s="691"/>
      <c r="H238" s="691"/>
      <c r="I238" s="691"/>
      <c r="J238" s="148">
        <v>4</v>
      </c>
      <c r="K238" s="153" t="s">
        <v>114</v>
      </c>
    </row>
    <row r="239" spans="1:11" ht="12.75">
      <c r="A239" s="692" t="s">
        <v>426</v>
      </c>
      <c r="B239" s="692"/>
      <c r="C239" s="692"/>
      <c r="D239" s="692"/>
      <c r="E239" s="692"/>
      <c r="F239" s="692"/>
      <c r="G239" s="692"/>
      <c r="H239" s="692"/>
      <c r="I239" s="692"/>
      <c r="J239" s="692"/>
      <c r="K239" s="692"/>
    </row>
    <row r="240" spans="1:11" s="149" customFormat="1" ht="12.75">
      <c r="A240" s="144" t="s">
        <v>293</v>
      </c>
      <c r="B240" s="146" t="s">
        <v>150</v>
      </c>
      <c r="C240" s="691" t="s">
        <v>149</v>
      </c>
      <c r="D240" s="691"/>
      <c r="E240" s="691"/>
      <c r="F240" s="691"/>
      <c r="G240" s="691"/>
      <c r="H240" s="691"/>
      <c r="I240" s="691"/>
      <c r="J240" s="148">
        <v>10.08</v>
      </c>
      <c r="K240" s="153" t="s">
        <v>63</v>
      </c>
    </row>
    <row r="241" spans="1:12" ht="12.75">
      <c r="A241" s="718" t="s">
        <v>434</v>
      </c>
      <c r="B241" s="699"/>
      <c r="C241" s="699"/>
      <c r="D241" s="699"/>
      <c r="E241" s="699"/>
      <c r="F241" s="699"/>
      <c r="G241" s="699"/>
      <c r="H241" s="699"/>
      <c r="I241" s="699"/>
      <c r="J241" s="699"/>
      <c r="K241" s="700"/>
      <c r="L241">
        <f>0.8*2.1*6</f>
        <v>10.080000000000002</v>
      </c>
    </row>
    <row r="242" spans="1:11" s="149" customFormat="1" ht="17.25" customHeight="1">
      <c r="A242" s="144" t="s">
        <v>294</v>
      </c>
      <c r="B242" s="146" t="s">
        <v>152</v>
      </c>
      <c r="C242" s="691" t="s">
        <v>151</v>
      </c>
      <c r="D242" s="691"/>
      <c r="E242" s="691"/>
      <c r="F242" s="691"/>
      <c r="G242" s="691"/>
      <c r="H242" s="691"/>
      <c r="I242" s="691"/>
      <c r="J242" s="148">
        <v>2.7</v>
      </c>
      <c r="K242" s="153" t="s">
        <v>63</v>
      </c>
    </row>
    <row r="243" spans="1:12" ht="12.75">
      <c r="A243" s="718" t="s">
        <v>435</v>
      </c>
      <c r="B243" s="699"/>
      <c r="C243" s="699"/>
      <c r="D243" s="699"/>
      <c r="E243" s="699"/>
      <c r="F243" s="699"/>
      <c r="G243" s="699"/>
      <c r="H243" s="699"/>
      <c r="I243" s="699"/>
      <c r="J243" s="699"/>
      <c r="K243" s="700"/>
      <c r="L243">
        <f>0.7*0.5+2*0.5+0.7*0.5+1*0.5+1*0.5</f>
        <v>2.7</v>
      </c>
    </row>
    <row r="244" spans="1:11" s="149" customFormat="1" ht="19.5" customHeight="1">
      <c r="A244" s="144" t="s">
        <v>389</v>
      </c>
      <c r="B244" s="146" t="s">
        <v>154</v>
      </c>
      <c r="C244" s="691" t="s">
        <v>153</v>
      </c>
      <c r="D244" s="691"/>
      <c r="E244" s="691"/>
      <c r="F244" s="691"/>
      <c r="G244" s="691"/>
      <c r="H244" s="691"/>
      <c r="I244" s="691"/>
      <c r="J244" s="148">
        <v>6.2</v>
      </c>
      <c r="K244" s="153" t="s">
        <v>63</v>
      </c>
    </row>
    <row r="245" spans="1:12" ht="12.75">
      <c r="A245" s="718" t="s">
        <v>436</v>
      </c>
      <c r="B245" s="699"/>
      <c r="C245" s="699"/>
      <c r="D245" s="699"/>
      <c r="E245" s="699"/>
      <c r="F245" s="699"/>
      <c r="G245" s="699"/>
      <c r="H245" s="699"/>
      <c r="I245" s="699"/>
      <c r="J245" s="699"/>
      <c r="K245" s="700"/>
      <c r="L245">
        <f>3.1*1*2</f>
        <v>6.2</v>
      </c>
    </row>
    <row r="246" spans="1:11" ht="12.75">
      <c r="A246" s="123">
        <v>11</v>
      </c>
      <c r="B246" s="663" t="s">
        <v>299</v>
      </c>
      <c r="C246" s="664"/>
      <c r="D246" s="664"/>
      <c r="E246" s="664"/>
      <c r="F246" s="664"/>
      <c r="G246" s="664"/>
      <c r="H246" s="664"/>
      <c r="I246" s="664"/>
      <c r="J246" s="664"/>
      <c r="K246" s="665"/>
    </row>
    <row r="247" spans="1:11" s="149" customFormat="1" ht="12.75">
      <c r="A247" s="197" t="s">
        <v>250</v>
      </c>
      <c r="B247" s="155" t="s">
        <v>298</v>
      </c>
      <c r="C247" s="717" t="s">
        <v>297</v>
      </c>
      <c r="D247" s="717"/>
      <c r="E247" s="717"/>
      <c r="F247" s="717"/>
      <c r="G247" s="717"/>
      <c r="H247" s="717"/>
      <c r="I247" s="717"/>
      <c r="J247" s="152">
        <v>1</v>
      </c>
      <c r="K247" s="152" t="s">
        <v>114</v>
      </c>
    </row>
    <row r="248" spans="1:11" ht="12.75">
      <c r="A248" s="692" t="s">
        <v>413</v>
      </c>
      <c r="B248" s="692"/>
      <c r="C248" s="692"/>
      <c r="D248" s="692"/>
      <c r="E248" s="692"/>
      <c r="F248" s="692"/>
      <c r="G248" s="692"/>
      <c r="H248" s="692"/>
      <c r="I248" s="692"/>
      <c r="J248" s="692"/>
      <c r="K248" s="692"/>
    </row>
    <row r="249" spans="1:11" s="149" customFormat="1" ht="12.75">
      <c r="A249" s="230" t="s">
        <v>251</v>
      </c>
      <c r="B249" s="231" t="s">
        <v>516</v>
      </c>
      <c r="C249" s="729" t="s">
        <v>517</v>
      </c>
      <c r="D249" s="729"/>
      <c r="E249" s="729"/>
      <c r="F249" s="729"/>
      <c r="G249" s="729"/>
      <c r="H249" s="729"/>
      <c r="I249" s="729"/>
      <c r="J249" s="137">
        <v>5</v>
      </c>
      <c r="K249" s="137" t="s">
        <v>114</v>
      </c>
    </row>
    <row r="250" spans="1:11" ht="12.75">
      <c r="A250" s="692" t="s">
        <v>420</v>
      </c>
      <c r="B250" s="692"/>
      <c r="C250" s="692"/>
      <c r="D250" s="692"/>
      <c r="E250" s="692"/>
      <c r="F250" s="692"/>
      <c r="G250" s="692"/>
      <c r="H250" s="692"/>
      <c r="I250" s="692"/>
      <c r="J250" s="692"/>
      <c r="K250" s="692"/>
    </row>
  </sheetData>
  <sheetProtection/>
  <mergeCells count="251">
    <mergeCell ref="A10:K10"/>
    <mergeCell ref="C9:I9"/>
    <mergeCell ref="A8:K8"/>
    <mergeCell ref="C7:I7"/>
    <mergeCell ref="B12:K12"/>
    <mergeCell ref="A33:K33"/>
    <mergeCell ref="C13:I13"/>
    <mergeCell ref="A14:K14"/>
    <mergeCell ref="C15:I15"/>
    <mergeCell ref="A16:K16"/>
    <mergeCell ref="A248:K248"/>
    <mergeCell ref="C249:I249"/>
    <mergeCell ref="A250:K250"/>
    <mergeCell ref="A239:K239"/>
    <mergeCell ref="A241:K241"/>
    <mergeCell ref="A243:K243"/>
    <mergeCell ref="C240:I240"/>
    <mergeCell ref="C244:I244"/>
    <mergeCell ref="A245:K245"/>
    <mergeCell ref="C247:I247"/>
    <mergeCell ref="A233:K233"/>
    <mergeCell ref="A229:K229"/>
    <mergeCell ref="A225:K225"/>
    <mergeCell ref="A227:K227"/>
    <mergeCell ref="A237:K237"/>
    <mergeCell ref="C242:I242"/>
    <mergeCell ref="C232:I232"/>
    <mergeCell ref="C236:I236"/>
    <mergeCell ref="C238:I238"/>
    <mergeCell ref="A231:K231"/>
    <mergeCell ref="C222:I222"/>
    <mergeCell ref="C224:I224"/>
    <mergeCell ref="B219:K219"/>
    <mergeCell ref="C226:I226"/>
    <mergeCell ref="C228:I228"/>
    <mergeCell ref="C230:I230"/>
    <mergeCell ref="A223:K223"/>
    <mergeCell ref="A221:K221"/>
    <mergeCell ref="A214:K214"/>
    <mergeCell ref="C211:I211"/>
    <mergeCell ref="C206:I206"/>
    <mergeCell ref="C207:I207"/>
    <mergeCell ref="A208:K208"/>
    <mergeCell ref="C220:I220"/>
    <mergeCell ref="A216:K216"/>
    <mergeCell ref="C217:I217"/>
    <mergeCell ref="A218:K218"/>
    <mergeCell ref="A205:K205"/>
    <mergeCell ref="C209:I209"/>
    <mergeCell ref="A210:K210"/>
    <mergeCell ref="C213:I213"/>
    <mergeCell ref="A212:K212"/>
    <mergeCell ref="C201:I201"/>
    <mergeCell ref="A202:K202"/>
    <mergeCell ref="C204:I204"/>
    <mergeCell ref="B203:K203"/>
    <mergeCell ref="C193:I193"/>
    <mergeCell ref="C195:I195"/>
    <mergeCell ref="C197:I197"/>
    <mergeCell ref="A200:K200"/>
    <mergeCell ref="C199:I199"/>
    <mergeCell ref="A196:K196"/>
    <mergeCell ref="A198:K198"/>
    <mergeCell ref="A194:K194"/>
    <mergeCell ref="C187:I187"/>
    <mergeCell ref="A182:K182"/>
    <mergeCell ref="C185:I185"/>
    <mergeCell ref="A188:K188"/>
    <mergeCell ref="A190:K190"/>
    <mergeCell ref="A192:K192"/>
    <mergeCell ref="C189:I189"/>
    <mergeCell ref="C191:I191"/>
    <mergeCell ref="A176:K176"/>
    <mergeCell ref="A178:K178"/>
    <mergeCell ref="A186:K186"/>
    <mergeCell ref="A184:K184"/>
    <mergeCell ref="C173:I173"/>
    <mergeCell ref="C175:I175"/>
    <mergeCell ref="C177:I177"/>
    <mergeCell ref="C179:I179"/>
    <mergeCell ref="C181:I181"/>
    <mergeCell ref="C183:I183"/>
    <mergeCell ref="A180:K180"/>
    <mergeCell ref="A164:K164"/>
    <mergeCell ref="A166:K166"/>
    <mergeCell ref="A168:K168"/>
    <mergeCell ref="C171:I171"/>
    <mergeCell ref="A170:K170"/>
    <mergeCell ref="C167:I167"/>
    <mergeCell ref="C169:I169"/>
    <mergeCell ref="A172:K172"/>
    <mergeCell ref="A174:K174"/>
    <mergeCell ref="A159:K159"/>
    <mergeCell ref="C161:I161"/>
    <mergeCell ref="A162:K162"/>
    <mergeCell ref="C163:I163"/>
    <mergeCell ref="C165:I165"/>
    <mergeCell ref="C114:I114"/>
    <mergeCell ref="C116:I116"/>
    <mergeCell ref="A115:K115"/>
    <mergeCell ref="A137:K137"/>
    <mergeCell ref="C126:I126"/>
    <mergeCell ref="C20:I20"/>
    <mergeCell ref="C22:I22"/>
    <mergeCell ref="A21:K21"/>
    <mergeCell ref="B30:K30"/>
    <mergeCell ref="A23:K23"/>
    <mergeCell ref="C34:I34"/>
    <mergeCell ref="B31:I31"/>
    <mergeCell ref="C32:I32"/>
    <mergeCell ref="A25:K25"/>
    <mergeCell ref="B11:K11"/>
    <mergeCell ref="A35:K35"/>
    <mergeCell ref="C26:I26"/>
    <mergeCell ref="A27:K27"/>
    <mergeCell ref="C28:I28"/>
    <mergeCell ref="A29:K29"/>
    <mergeCell ref="C24:I24"/>
    <mergeCell ref="C17:I17"/>
    <mergeCell ref="A18:K18"/>
    <mergeCell ref="B19:I19"/>
    <mergeCell ref="C97:I97"/>
    <mergeCell ref="A98:K98"/>
    <mergeCell ref="A38:K38"/>
    <mergeCell ref="C39:I39"/>
    <mergeCell ref="A40:K40"/>
    <mergeCell ref="C43:I43"/>
    <mergeCell ref="A44:K44"/>
    <mergeCell ref="C45:I45"/>
    <mergeCell ref="A46:K46"/>
    <mergeCell ref="C49:I49"/>
    <mergeCell ref="C1:I1"/>
    <mergeCell ref="C3:I3"/>
    <mergeCell ref="A4:K4"/>
    <mergeCell ref="C5:I5"/>
    <mergeCell ref="A6:K6"/>
    <mergeCell ref="B2:K2"/>
    <mergeCell ref="B47:K47"/>
    <mergeCell ref="B48:K48"/>
    <mergeCell ref="A54:K54"/>
    <mergeCell ref="A52:K52"/>
    <mergeCell ref="C51:I51"/>
    <mergeCell ref="B36:I36"/>
    <mergeCell ref="C37:I37"/>
    <mergeCell ref="C53:I53"/>
    <mergeCell ref="A56:K56"/>
    <mergeCell ref="C57:I57"/>
    <mergeCell ref="A58:K58"/>
    <mergeCell ref="C55:I55"/>
    <mergeCell ref="C60:I60"/>
    <mergeCell ref="C88:I88"/>
    <mergeCell ref="A61:K61"/>
    <mergeCell ref="C70:I70"/>
    <mergeCell ref="A71:K71"/>
    <mergeCell ref="C108:I108"/>
    <mergeCell ref="A73:K73"/>
    <mergeCell ref="C62:I62"/>
    <mergeCell ref="C101:I101"/>
    <mergeCell ref="A102:K102"/>
    <mergeCell ref="A89:K89"/>
    <mergeCell ref="C90:I90"/>
    <mergeCell ref="A91:K91"/>
    <mergeCell ref="C92:I92"/>
    <mergeCell ref="A93:K93"/>
    <mergeCell ref="C95:I95"/>
    <mergeCell ref="A96:K96"/>
    <mergeCell ref="C99:I99"/>
    <mergeCell ref="A100:K100"/>
    <mergeCell ref="A109:K109"/>
    <mergeCell ref="C103:I103"/>
    <mergeCell ref="C105:I105"/>
    <mergeCell ref="A104:K104"/>
    <mergeCell ref="A106:K106"/>
    <mergeCell ref="C110:I110"/>
    <mergeCell ref="C118:I118"/>
    <mergeCell ref="C120:I120"/>
    <mergeCell ref="C122:I122"/>
    <mergeCell ref="C124:I124"/>
    <mergeCell ref="A117:K117"/>
    <mergeCell ref="A113:K113"/>
    <mergeCell ref="C112:I112"/>
    <mergeCell ref="C128:I128"/>
    <mergeCell ref="A111:K111"/>
    <mergeCell ref="A119:K119"/>
    <mergeCell ref="A121:K121"/>
    <mergeCell ref="A123:K123"/>
    <mergeCell ref="A125:K125"/>
    <mergeCell ref="A127:K127"/>
    <mergeCell ref="A129:K129"/>
    <mergeCell ref="C130:I130"/>
    <mergeCell ref="C132:I132"/>
    <mergeCell ref="C134:I134"/>
    <mergeCell ref="C136:I136"/>
    <mergeCell ref="A131:K131"/>
    <mergeCell ref="A133:K133"/>
    <mergeCell ref="A135:K135"/>
    <mergeCell ref="C138:I138"/>
    <mergeCell ref="C140:I140"/>
    <mergeCell ref="C142:I142"/>
    <mergeCell ref="C144:I144"/>
    <mergeCell ref="A139:K139"/>
    <mergeCell ref="A141:K141"/>
    <mergeCell ref="A143:K143"/>
    <mergeCell ref="C146:I146"/>
    <mergeCell ref="C148:I148"/>
    <mergeCell ref="C150:I150"/>
    <mergeCell ref="C152:I152"/>
    <mergeCell ref="C154:I154"/>
    <mergeCell ref="A147:K147"/>
    <mergeCell ref="A235:K235"/>
    <mergeCell ref="A151:K151"/>
    <mergeCell ref="A153:K153"/>
    <mergeCell ref="A155:K155"/>
    <mergeCell ref="A145:K145"/>
    <mergeCell ref="C215:I215"/>
    <mergeCell ref="C234:I234"/>
    <mergeCell ref="A157:K157"/>
    <mergeCell ref="C156:I156"/>
    <mergeCell ref="C158:I158"/>
    <mergeCell ref="B107:K107"/>
    <mergeCell ref="B160:K160"/>
    <mergeCell ref="A63:K63"/>
    <mergeCell ref="C64:I64"/>
    <mergeCell ref="A65:K65"/>
    <mergeCell ref="C66:I66"/>
    <mergeCell ref="A82:K82"/>
    <mergeCell ref="A84:K84"/>
    <mergeCell ref="A86:K86"/>
    <mergeCell ref="A149:K149"/>
    <mergeCell ref="B246:K246"/>
    <mergeCell ref="C75:I75"/>
    <mergeCell ref="C79:I79"/>
    <mergeCell ref="C81:I81"/>
    <mergeCell ref="C83:I83"/>
    <mergeCell ref="C85:I85"/>
    <mergeCell ref="A76:K76"/>
    <mergeCell ref="A80:K80"/>
    <mergeCell ref="B87:K87"/>
    <mergeCell ref="B94:K94"/>
    <mergeCell ref="B59:K59"/>
    <mergeCell ref="C68:I68"/>
    <mergeCell ref="A69:K69"/>
    <mergeCell ref="C77:I77"/>
    <mergeCell ref="A78:K78"/>
    <mergeCell ref="C41:I41"/>
    <mergeCell ref="A42:K42"/>
    <mergeCell ref="A67:K67"/>
    <mergeCell ref="C72:I72"/>
    <mergeCell ref="A50:K50"/>
  </mergeCells>
  <printOptions/>
  <pageMargins left="0.511811024" right="0.511811024" top="0.787401575" bottom="0.787401575" header="0.31496062" footer="0.31496062"/>
  <pageSetup fitToHeight="0" fitToWidth="1" horizontalDpi="600" verticalDpi="600" orientation="portrait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Plan11"/>
  <dimension ref="A1:S43"/>
  <sheetViews>
    <sheetView tabSelected="1" zoomScale="75" zoomScaleNormal="75" zoomScaleSheetLayoutView="80" workbookViewId="0" topLeftCell="A1">
      <selection activeCell="Q35" sqref="Q35"/>
    </sheetView>
  </sheetViews>
  <sheetFormatPr defaultColWidth="9.140625" defaultRowHeight="12.75"/>
  <cols>
    <col min="1" max="1" width="6.140625" style="0" customWidth="1"/>
    <col min="2" max="2" width="11.00390625" style="0" customWidth="1"/>
    <col min="8" max="8" width="6.57421875" style="0" customWidth="1"/>
    <col min="9" max="9" width="32.8515625" style="0" customWidth="1"/>
    <col min="10" max="10" width="7.421875" style="0" customWidth="1"/>
    <col min="11" max="11" width="7.28125" style="0" customWidth="1"/>
    <col min="12" max="12" width="9.57421875" style="0" customWidth="1"/>
    <col min="14" max="14" width="13.57421875" style="0" customWidth="1"/>
    <col min="15" max="15" width="9.8515625" style="0" customWidth="1"/>
    <col min="16" max="16" width="10.7109375" style="0" customWidth="1"/>
    <col min="17" max="17" width="14.00390625" style="0" customWidth="1"/>
    <col min="18" max="18" width="16.57421875" style="0" customWidth="1"/>
  </cols>
  <sheetData>
    <row r="1" spans="1:18" ht="38.25" customHeight="1">
      <c r="A1" s="736" t="s">
        <v>664</v>
      </c>
      <c r="B1" s="737"/>
      <c r="C1" s="737"/>
      <c r="D1" s="737"/>
      <c r="E1" s="737"/>
      <c r="F1" s="737"/>
      <c r="G1" s="737"/>
      <c r="H1" s="737"/>
      <c r="I1" s="737"/>
      <c r="J1" s="737"/>
      <c r="K1" s="737"/>
      <c r="L1" s="737"/>
      <c r="M1" s="737"/>
      <c r="N1" s="737"/>
      <c r="O1" s="737"/>
      <c r="P1" s="737"/>
      <c r="Q1" s="737"/>
      <c r="R1" s="738"/>
    </row>
    <row r="2" spans="1:19" ht="12.75">
      <c r="A2" s="518"/>
      <c r="B2" s="468"/>
      <c r="C2" s="469"/>
      <c r="D2" s="470" t="s">
        <v>658</v>
      </c>
      <c r="E2" s="471">
        <v>1.2084</v>
      </c>
      <c r="F2" s="472" t="s">
        <v>608</v>
      </c>
      <c r="G2" s="473"/>
      <c r="H2" s="473"/>
      <c r="I2" s="470"/>
      <c r="J2" s="474"/>
      <c r="K2" s="739"/>
      <c r="L2" s="739"/>
      <c r="M2" s="739"/>
      <c r="N2" s="475"/>
      <c r="O2" s="475"/>
      <c r="P2" s="470" t="s">
        <v>38</v>
      </c>
      <c r="Q2" s="476" t="s">
        <v>611</v>
      </c>
      <c r="R2" s="475"/>
      <c r="S2" s="517"/>
    </row>
    <row r="3" spans="1:19" ht="27">
      <c r="A3" s="489" t="s">
        <v>60</v>
      </c>
      <c r="B3" s="477" t="s">
        <v>104</v>
      </c>
      <c r="C3" s="740" t="s">
        <v>59</v>
      </c>
      <c r="D3" s="741"/>
      <c r="E3" s="741"/>
      <c r="F3" s="741"/>
      <c r="G3" s="741"/>
      <c r="H3" s="741"/>
      <c r="I3" s="742"/>
      <c r="J3" s="478" t="s">
        <v>1</v>
      </c>
      <c r="K3" s="478" t="s">
        <v>2</v>
      </c>
      <c r="L3" s="479" t="s">
        <v>6</v>
      </c>
      <c r="M3" s="480" t="s">
        <v>603</v>
      </c>
      <c r="N3" s="480" t="s">
        <v>4</v>
      </c>
      <c r="O3" s="480" t="s">
        <v>7</v>
      </c>
      <c r="P3" s="480" t="s">
        <v>604</v>
      </c>
      <c r="Q3" s="480" t="s">
        <v>5</v>
      </c>
      <c r="R3" s="489" t="s">
        <v>3</v>
      </c>
      <c r="S3" s="517"/>
    </row>
    <row r="4" spans="1:18" ht="12.75">
      <c r="A4" s="493">
        <v>1</v>
      </c>
      <c r="B4" s="743" t="s">
        <v>609</v>
      </c>
      <c r="C4" s="743"/>
      <c r="D4" s="743"/>
      <c r="E4" s="743"/>
      <c r="F4" s="743"/>
      <c r="G4" s="743"/>
      <c r="H4" s="743"/>
      <c r="I4" s="743"/>
      <c r="J4" s="494"/>
      <c r="K4" s="494"/>
      <c r="L4" s="495"/>
      <c r="M4" s="496"/>
      <c r="N4" s="497">
        <f>SUM(N5+N7+N15+N26+N31)</f>
        <v>0</v>
      </c>
      <c r="O4" s="497"/>
      <c r="P4" s="496"/>
      <c r="Q4" s="497">
        <f>SUM(Q5+Q7+Q15+Q26+Q31)</f>
        <v>0</v>
      </c>
      <c r="R4" s="498">
        <f>R5+R7+R15+R26+R31</f>
        <v>0</v>
      </c>
    </row>
    <row r="5" spans="1:19" ht="12.75">
      <c r="A5" s="510" t="s">
        <v>586</v>
      </c>
      <c r="B5" s="575" t="s">
        <v>610</v>
      </c>
      <c r="C5" s="575"/>
      <c r="D5" s="575"/>
      <c r="E5" s="575"/>
      <c r="F5" s="575"/>
      <c r="G5" s="575"/>
      <c r="H5" s="575"/>
      <c r="I5" s="575"/>
      <c r="J5" s="481"/>
      <c r="K5" s="481"/>
      <c r="L5" s="482"/>
      <c r="M5" s="483"/>
      <c r="N5" s="484">
        <f>N6</f>
        <v>0</v>
      </c>
      <c r="O5" s="484"/>
      <c r="P5" s="483"/>
      <c r="Q5" s="484">
        <f>Q6</f>
        <v>0</v>
      </c>
      <c r="R5" s="484">
        <f>N5+Q5</f>
        <v>0</v>
      </c>
      <c r="S5" s="226"/>
    </row>
    <row r="6" spans="1:19" ht="24" customHeight="1">
      <c r="A6" s="499" t="s">
        <v>592</v>
      </c>
      <c r="B6" s="499" t="s">
        <v>657</v>
      </c>
      <c r="C6" s="580" t="s">
        <v>607</v>
      </c>
      <c r="D6" s="580"/>
      <c r="E6" s="580"/>
      <c r="F6" s="580"/>
      <c r="G6" s="580"/>
      <c r="H6" s="580"/>
      <c r="I6" s="580"/>
      <c r="J6" s="489">
        <v>14</v>
      </c>
      <c r="K6" s="489" t="s">
        <v>578</v>
      </c>
      <c r="L6" s="500"/>
      <c r="M6" s="488">
        <f>ROUND(L6*$E$2,2)</f>
        <v>0</v>
      </c>
      <c r="N6" s="488"/>
      <c r="O6" s="488"/>
      <c r="P6" s="488"/>
      <c r="Q6" s="488"/>
      <c r="R6" s="491">
        <f>ROUND(N6+Q6,2)</f>
        <v>0</v>
      </c>
      <c r="S6" s="226"/>
    </row>
    <row r="7" spans="1:19" ht="12.75">
      <c r="A7" s="492" t="s">
        <v>590</v>
      </c>
      <c r="B7" s="744" t="s">
        <v>659</v>
      </c>
      <c r="C7" s="744"/>
      <c r="D7" s="744"/>
      <c r="E7" s="744"/>
      <c r="F7" s="744"/>
      <c r="G7" s="744"/>
      <c r="H7" s="744"/>
      <c r="I7" s="744"/>
      <c r="J7" s="481"/>
      <c r="K7" s="481"/>
      <c r="L7" s="482"/>
      <c r="M7" s="501"/>
      <c r="N7" s="484">
        <f>SUM(N8:N14)</f>
        <v>0</v>
      </c>
      <c r="O7" s="484"/>
      <c r="P7" s="501"/>
      <c r="Q7" s="484">
        <f>SUM(Q8:Q14)</f>
        <v>0</v>
      </c>
      <c r="R7" s="484">
        <f>N7+Q7</f>
        <v>0</v>
      </c>
      <c r="S7" s="226"/>
    </row>
    <row r="8" spans="1:19" ht="15.75" customHeight="1">
      <c r="A8" s="485" t="s">
        <v>593</v>
      </c>
      <c r="B8" s="107" t="s">
        <v>612</v>
      </c>
      <c r="C8" s="568" t="s">
        <v>616</v>
      </c>
      <c r="D8" s="568"/>
      <c r="E8" s="568"/>
      <c r="F8" s="568"/>
      <c r="G8" s="568"/>
      <c r="H8" s="568"/>
      <c r="I8" s="568"/>
      <c r="J8" s="489">
        <v>122</v>
      </c>
      <c r="K8" s="486" t="s">
        <v>605</v>
      </c>
      <c r="L8" s="502"/>
      <c r="M8" s="488">
        <f>ROUND(L8*$E$2,2)</f>
        <v>0</v>
      </c>
      <c r="N8" s="488"/>
      <c r="O8" s="488"/>
      <c r="P8" s="488"/>
      <c r="Q8" s="488"/>
      <c r="R8" s="491">
        <f aca="true" t="shared" si="0" ref="R8:R14">ROUND(N8+Q8,2)</f>
        <v>0</v>
      </c>
      <c r="S8" s="226"/>
    </row>
    <row r="9" spans="1:19" ht="39" customHeight="1">
      <c r="A9" s="485" t="s">
        <v>594</v>
      </c>
      <c r="B9" s="107" t="s">
        <v>613</v>
      </c>
      <c r="C9" s="568" t="s">
        <v>627</v>
      </c>
      <c r="D9" s="568"/>
      <c r="E9" s="568"/>
      <c r="F9" s="568"/>
      <c r="G9" s="568"/>
      <c r="H9" s="568"/>
      <c r="I9" s="568"/>
      <c r="J9" s="489">
        <v>170.8</v>
      </c>
      <c r="K9" s="486" t="s">
        <v>588</v>
      </c>
      <c r="L9" s="502"/>
      <c r="M9" s="488">
        <f>ROUND(L9*$E$2,2)</f>
        <v>0</v>
      </c>
      <c r="N9" s="488"/>
      <c r="O9" s="488"/>
      <c r="P9" s="488"/>
      <c r="Q9" s="488"/>
      <c r="R9" s="491">
        <f t="shared" si="0"/>
        <v>0</v>
      </c>
      <c r="S9" s="226"/>
    </row>
    <row r="10" spans="1:19" ht="22.5" customHeight="1">
      <c r="A10" s="485" t="s">
        <v>595</v>
      </c>
      <c r="B10" s="107" t="s">
        <v>614</v>
      </c>
      <c r="C10" s="568" t="s">
        <v>622</v>
      </c>
      <c r="D10" s="568"/>
      <c r="E10" s="568"/>
      <c r="F10" s="568"/>
      <c r="G10" s="568"/>
      <c r="H10" s="568"/>
      <c r="I10" s="568"/>
      <c r="J10" s="489">
        <v>328.68</v>
      </c>
      <c r="K10" s="486" t="s">
        <v>606</v>
      </c>
      <c r="L10" s="502"/>
      <c r="M10" s="488">
        <f>ROUND(L10*$E$2,2)</f>
        <v>0</v>
      </c>
      <c r="N10" s="488"/>
      <c r="O10" s="488"/>
      <c r="P10" s="488"/>
      <c r="Q10" s="488"/>
      <c r="R10" s="503">
        <f t="shared" si="0"/>
        <v>0</v>
      </c>
      <c r="S10" s="226"/>
    </row>
    <row r="11" spans="1:19" ht="27" customHeight="1">
      <c r="A11" s="485" t="s">
        <v>596</v>
      </c>
      <c r="B11" s="107" t="s">
        <v>615</v>
      </c>
      <c r="C11" s="568" t="s">
        <v>623</v>
      </c>
      <c r="D11" s="568"/>
      <c r="E11" s="568"/>
      <c r="F11" s="568"/>
      <c r="G11" s="568"/>
      <c r="H11" s="568"/>
      <c r="I11" s="568"/>
      <c r="J11" s="489">
        <v>12.2</v>
      </c>
      <c r="K11" s="487" t="s">
        <v>588</v>
      </c>
      <c r="L11" s="490"/>
      <c r="M11" s="488">
        <f>ROUND(L11*$E$2,2)</f>
        <v>0</v>
      </c>
      <c r="N11" s="488"/>
      <c r="O11" s="488"/>
      <c r="P11" s="488"/>
      <c r="Q11" s="488"/>
      <c r="R11" s="491">
        <f t="shared" si="0"/>
        <v>0</v>
      </c>
      <c r="S11" s="226"/>
    </row>
    <row r="12" spans="1:19" ht="27" customHeight="1">
      <c r="A12" s="485" t="s">
        <v>619</v>
      </c>
      <c r="B12" s="107" t="s">
        <v>617</v>
      </c>
      <c r="C12" s="568" t="s">
        <v>624</v>
      </c>
      <c r="D12" s="568"/>
      <c r="E12" s="568"/>
      <c r="F12" s="568"/>
      <c r="G12" s="568"/>
      <c r="H12" s="568"/>
      <c r="I12" s="568"/>
      <c r="J12" s="489">
        <v>122</v>
      </c>
      <c r="K12" s="487" t="s">
        <v>605</v>
      </c>
      <c r="L12" s="490"/>
      <c r="M12" s="488">
        <f>TRUNC(L12*$E$2,2)</f>
        <v>0</v>
      </c>
      <c r="N12" s="488"/>
      <c r="O12" s="488"/>
      <c r="P12" s="488"/>
      <c r="Q12" s="488"/>
      <c r="R12" s="491">
        <f t="shared" si="0"/>
        <v>0</v>
      </c>
      <c r="S12" s="226"/>
    </row>
    <row r="13" spans="1:19" ht="27" customHeight="1">
      <c r="A13" s="485" t="s">
        <v>620</v>
      </c>
      <c r="B13" s="107" t="s">
        <v>618</v>
      </c>
      <c r="C13" s="568" t="s">
        <v>625</v>
      </c>
      <c r="D13" s="568"/>
      <c r="E13" s="568"/>
      <c r="F13" s="568"/>
      <c r="G13" s="568"/>
      <c r="H13" s="568"/>
      <c r="I13" s="568"/>
      <c r="J13" s="489">
        <v>2</v>
      </c>
      <c r="K13" s="487" t="s">
        <v>578</v>
      </c>
      <c r="L13" s="490"/>
      <c r="M13" s="488">
        <f>TRUNC(L13*$E$2,2)</f>
        <v>0</v>
      </c>
      <c r="N13" s="488"/>
      <c r="O13" s="488"/>
      <c r="P13" s="488"/>
      <c r="Q13" s="488"/>
      <c r="R13" s="491">
        <f t="shared" si="0"/>
        <v>0</v>
      </c>
      <c r="S13" s="226"/>
    </row>
    <row r="14" spans="1:19" ht="27" customHeight="1">
      <c r="A14" s="485" t="s">
        <v>621</v>
      </c>
      <c r="B14" s="107" t="s">
        <v>626</v>
      </c>
      <c r="C14" s="568" t="s">
        <v>630</v>
      </c>
      <c r="D14" s="568"/>
      <c r="E14" s="568"/>
      <c r="F14" s="568"/>
      <c r="G14" s="568"/>
      <c r="H14" s="568"/>
      <c r="I14" s="568"/>
      <c r="J14" s="489">
        <v>8</v>
      </c>
      <c r="K14" s="487" t="s">
        <v>578</v>
      </c>
      <c r="L14" s="490"/>
      <c r="M14" s="488">
        <f>TRUNC(L14*$E$2,2)</f>
        <v>0</v>
      </c>
      <c r="N14" s="488"/>
      <c r="O14" s="488"/>
      <c r="P14" s="488"/>
      <c r="Q14" s="488"/>
      <c r="R14" s="491">
        <f t="shared" si="0"/>
        <v>0</v>
      </c>
      <c r="S14" s="226"/>
    </row>
    <row r="15" spans="1:18" ht="12.75">
      <c r="A15" s="492" t="s">
        <v>591</v>
      </c>
      <c r="B15" s="744" t="s">
        <v>660</v>
      </c>
      <c r="C15" s="744"/>
      <c r="D15" s="744"/>
      <c r="E15" s="744"/>
      <c r="F15" s="744"/>
      <c r="G15" s="744"/>
      <c r="H15" s="744"/>
      <c r="I15" s="744"/>
      <c r="J15" s="481"/>
      <c r="K15" s="481"/>
      <c r="L15" s="482"/>
      <c r="M15" s="501"/>
      <c r="N15" s="484">
        <f>SUM(N16:N25)</f>
        <v>0</v>
      </c>
      <c r="O15" s="484"/>
      <c r="P15" s="501"/>
      <c r="Q15" s="484">
        <f>SUM(Q16:Q25)</f>
        <v>0</v>
      </c>
      <c r="R15" s="484">
        <f>N15+Q15</f>
        <v>0</v>
      </c>
    </row>
    <row r="16" spans="1:19" ht="21" customHeight="1">
      <c r="A16" s="485" t="s">
        <v>597</v>
      </c>
      <c r="B16" s="107" t="s">
        <v>612</v>
      </c>
      <c r="C16" s="568" t="s">
        <v>634</v>
      </c>
      <c r="D16" s="568"/>
      <c r="E16" s="568"/>
      <c r="F16" s="568"/>
      <c r="G16" s="568"/>
      <c r="H16" s="568"/>
      <c r="I16" s="568"/>
      <c r="J16" s="489">
        <v>292</v>
      </c>
      <c r="K16" s="487" t="s">
        <v>605</v>
      </c>
      <c r="L16" s="490"/>
      <c r="M16" s="488">
        <f>ROUND(L16*$E$2,2)</f>
        <v>0</v>
      </c>
      <c r="N16" s="488"/>
      <c r="O16" s="488"/>
      <c r="P16" s="488"/>
      <c r="Q16" s="488"/>
      <c r="R16" s="491">
        <f aca="true" t="shared" si="1" ref="R16:R25">ROUND(N16+Q16,2)</f>
        <v>0</v>
      </c>
      <c r="S16" s="226"/>
    </row>
    <row r="17" spans="1:19" ht="30.75" customHeight="1">
      <c r="A17" s="485" t="s">
        <v>598</v>
      </c>
      <c r="B17" s="107" t="s">
        <v>631</v>
      </c>
      <c r="C17" s="568" t="s">
        <v>635</v>
      </c>
      <c r="D17" s="568"/>
      <c r="E17" s="568"/>
      <c r="F17" s="568"/>
      <c r="G17" s="568"/>
      <c r="H17" s="568"/>
      <c r="I17" s="568"/>
      <c r="J17" s="489">
        <v>153.6</v>
      </c>
      <c r="K17" s="487" t="s">
        <v>588</v>
      </c>
      <c r="L17" s="490"/>
      <c r="M17" s="488">
        <f>ROUND(L17*$E$2,2)</f>
        <v>0</v>
      </c>
      <c r="N17" s="488"/>
      <c r="O17" s="488"/>
      <c r="P17" s="488"/>
      <c r="Q17" s="488"/>
      <c r="R17" s="491">
        <f t="shared" si="1"/>
        <v>0</v>
      </c>
      <c r="S17" s="226"/>
    </row>
    <row r="18" spans="1:19" ht="35.25" customHeight="1">
      <c r="A18" s="485" t="s">
        <v>599</v>
      </c>
      <c r="B18" s="107" t="s">
        <v>632</v>
      </c>
      <c r="C18" s="569" t="s">
        <v>636</v>
      </c>
      <c r="D18" s="570"/>
      <c r="E18" s="570"/>
      <c r="F18" s="570"/>
      <c r="G18" s="570"/>
      <c r="H18" s="570"/>
      <c r="I18" s="571"/>
      <c r="J18" s="489">
        <v>266</v>
      </c>
      <c r="K18" s="487" t="s">
        <v>588</v>
      </c>
      <c r="L18" s="490"/>
      <c r="M18" s="488">
        <f>ROUND(L18*$E$2,2)</f>
        <v>0</v>
      </c>
      <c r="N18" s="488"/>
      <c r="O18" s="488"/>
      <c r="P18" s="488"/>
      <c r="Q18" s="488"/>
      <c r="R18" s="503">
        <f t="shared" si="1"/>
        <v>0</v>
      </c>
      <c r="S18" s="226"/>
    </row>
    <row r="19" spans="1:19" ht="30" customHeight="1">
      <c r="A19" s="485" t="s">
        <v>600</v>
      </c>
      <c r="B19" s="107" t="s">
        <v>633</v>
      </c>
      <c r="C19" s="568" t="s">
        <v>637</v>
      </c>
      <c r="D19" s="568"/>
      <c r="E19" s="568"/>
      <c r="F19" s="568"/>
      <c r="G19" s="568"/>
      <c r="H19" s="568"/>
      <c r="I19" s="568"/>
      <c r="J19" s="489">
        <v>52.08</v>
      </c>
      <c r="K19" s="487" t="s">
        <v>588</v>
      </c>
      <c r="L19" s="490"/>
      <c r="M19" s="488">
        <f>TRUNC(L19*$E$2,2)</f>
        <v>0</v>
      </c>
      <c r="N19" s="488"/>
      <c r="O19" s="488"/>
      <c r="P19" s="488"/>
      <c r="Q19" s="488"/>
      <c r="R19" s="491">
        <f t="shared" si="1"/>
        <v>0</v>
      </c>
      <c r="S19" s="226"/>
    </row>
    <row r="20" spans="1:19" ht="24.75" customHeight="1">
      <c r="A20" s="485" t="s">
        <v>601</v>
      </c>
      <c r="B20" s="107" t="s">
        <v>614</v>
      </c>
      <c r="C20" s="568" t="s">
        <v>622</v>
      </c>
      <c r="D20" s="587"/>
      <c r="E20" s="587"/>
      <c r="F20" s="587"/>
      <c r="G20" s="587"/>
      <c r="H20" s="587"/>
      <c r="I20" s="587"/>
      <c r="J20" s="489">
        <v>938.44</v>
      </c>
      <c r="K20" s="487" t="s">
        <v>606</v>
      </c>
      <c r="L20" s="490"/>
      <c r="M20" s="488">
        <f aca="true" t="shared" si="2" ref="M20:M25">ROUND(L20*$E$2,2)</f>
        <v>0</v>
      </c>
      <c r="N20" s="488"/>
      <c r="O20" s="488"/>
      <c r="P20" s="488"/>
      <c r="Q20" s="488"/>
      <c r="R20" s="491">
        <f>ROUND(N20+Q20,2)</f>
        <v>0</v>
      </c>
      <c r="S20" s="226"/>
    </row>
    <row r="21" spans="1:19" ht="31.5" customHeight="1">
      <c r="A21" s="485" t="s">
        <v>601</v>
      </c>
      <c r="B21" s="107" t="s">
        <v>638</v>
      </c>
      <c r="C21" s="568" t="s">
        <v>639</v>
      </c>
      <c r="D21" s="587"/>
      <c r="E21" s="587"/>
      <c r="F21" s="587"/>
      <c r="G21" s="587"/>
      <c r="H21" s="587"/>
      <c r="I21" s="587"/>
      <c r="J21" s="489">
        <v>62</v>
      </c>
      <c r="K21" s="487" t="s">
        <v>605</v>
      </c>
      <c r="L21" s="490"/>
      <c r="M21" s="488">
        <f t="shared" si="2"/>
        <v>0</v>
      </c>
      <c r="N21" s="488"/>
      <c r="O21" s="488"/>
      <c r="P21" s="488"/>
      <c r="Q21" s="488"/>
      <c r="R21" s="491">
        <f>ROUND(N21+Q21,2)</f>
        <v>0</v>
      </c>
      <c r="S21" s="226"/>
    </row>
    <row r="22" spans="1:19" ht="39" customHeight="1">
      <c r="A22" s="485" t="s">
        <v>601</v>
      </c>
      <c r="B22" s="107" t="s">
        <v>640</v>
      </c>
      <c r="C22" s="568" t="s">
        <v>641</v>
      </c>
      <c r="D22" s="587"/>
      <c r="E22" s="587"/>
      <c r="F22" s="587"/>
      <c r="G22" s="587"/>
      <c r="H22" s="587"/>
      <c r="I22" s="587"/>
      <c r="J22" s="489">
        <v>190</v>
      </c>
      <c r="K22" s="487" t="s">
        <v>605</v>
      </c>
      <c r="L22" s="490"/>
      <c r="M22" s="488">
        <f t="shared" si="2"/>
        <v>0</v>
      </c>
      <c r="N22" s="488"/>
      <c r="O22" s="488"/>
      <c r="P22" s="488"/>
      <c r="Q22" s="488"/>
      <c r="R22" s="491">
        <f>ROUND(N22+Q22,2)</f>
        <v>0</v>
      </c>
      <c r="S22" s="226"/>
    </row>
    <row r="23" spans="1:19" ht="39" customHeight="1">
      <c r="A23" s="485" t="s">
        <v>601</v>
      </c>
      <c r="B23" s="107" t="s">
        <v>642</v>
      </c>
      <c r="C23" s="568" t="s">
        <v>643</v>
      </c>
      <c r="D23" s="587"/>
      <c r="E23" s="587"/>
      <c r="F23" s="587"/>
      <c r="G23" s="587"/>
      <c r="H23" s="587"/>
      <c r="I23" s="587"/>
      <c r="J23" s="489">
        <v>80</v>
      </c>
      <c r="K23" s="487" t="s">
        <v>605</v>
      </c>
      <c r="L23" s="490"/>
      <c r="M23" s="488">
        <f t="shared" si="2"/>
        <v>0</v>
      </c>
      <c r="N23" s="488"/>
      <c r="O23" s="488"/>
      <c r="P23" s="488"/>
      <c r="Q23" s="488"/>
      <c r="R23" s="491">
        <f>ROUND(N23+Q23,2)</f>
        <v>0</v>
      </c>
      <c r="S23" s="226"/>
    </row>
    <row r="24" spans="1:19" ht="39" customHeight="1">
      <c r="A24" s="485" t="s">
        <v>601</v>
      </c>
      <c r="B24" s="107" t="s">
        <v>626</v>
      </c>
      <c r="C24" s="568" t="s">
        <v>644</v>
      </c>
      <c r="D24" s="587"/>
      <c r="E24" s="587"/>
      <c r="F24" s="587"/>
      <c r="G24" s="587"/>
      <c r="H24" s="587"/>
      <c r="I24" s="587"/>
      <c r="J24" s="489">
        <v>13</v>
      </c>
      <c r="K24" s="487" t="s">
        <v>578</v>
      </c>
      <c r="L24" s="490"/>
      <c r="M24" s="488">
        <f t="shared" si="2"/>
        <v>0</v>
      </c>
      <c r="N24" s="488"/>
      <c r="O24" s="488"/>
      <c r="P24" s="488"/>
      <c r="Q24" s="488"/>
      <c r="R24" s="491">
        <f t="shared" si="1"/>
        <v>0</v>
      </c>
      <c r="S24" s="226"/>
    </row>
    <row r="25" spans="1:19" ht="27.75" customHeight="1">
      <c r="A25" s="485" t="s">
        <v>602</v>
      </c>
      <c r="B25" s="102" t="s">
        <v>615</v>
      </c>
      <c r="C25" s="580" t="s">
        <v>623</v>
      </c>
      <c r="D25" s="588"/>
      <c r="E25" s="588"/>
      <c r="F25" s="588"/>
      <c r="G25" s="588"/>
      <c r="H25" s="588"/>
      <c r="I25" s="588"/>
      <c r="J25" s="489">
        <v>33</v>
      </c>
      <c r="K25" s="487" t="s">
        <v>588</v>
      </c>
      <c r="L25" s="490"/>
      <c r="M25" s="488">
        <f t="shared" si="2"/>
        <v>0</v>
      </c>
      <c r="N25" s="488"/>
      <c r="O25" s="488"/>
      <c r="P25" s="488"/>
      <c r="Q25" s="488"/>
      <c r="R25" s="491">
        <f t="shared" si="1"/>
        <v>0</v>
      </c>
      <c r="S25" s="226"/>
    </row>
    <row r="26" spans="1:19" ht="12.75">
      <c r="A26" s="492" t="s">
        <v>398</v>
      </c>
      <c r="B26" s="575" t="s">
        <v>645</v>
      </c>
      <c r="C26" s="575"/>
      <c r="D26" s="575"/>
      <c r="E26" s="575"/>
      <c r="F26" s="575"/>
      <c r="G26" s="575"/>
      <c r="H26" s="575"/>
      <c r="I26" s="575"/>
      <c r="J26" s="481"/>
      <c r="K26" s="481"/>
      <c r="L26" s="482"/>
      <c r="M26" s="483"/>
      <c r="N26" s="484">
        <f>N27+N29</f>
        <v>0</v>
      </c>
      <c r="O26" s="484"/>
      <c r="P26" s="483"/>
      <c r="Q26" s="484">
        <f>Q27+Q29</f>
        <v>0</v>
      </c>
      <c r="R26" s="484">
        <f>R27+R29</f>
        <v>0</v>
      </c>
      <c r="S26" s="226"/>
    </row>
    <row r="27" spans="1:18" ht="12.75">
      <c r="A27" s="492" t="s">
        <v>579</v>
      </c>
      <c r="B27" s="575" t="s">
        <v>646</v>
      </c>
      <c r="C27" s="575"/>
      <c r="D27" s="575"/>
      <c r="E27" s="575"/>
      <c r="F27" s="575"/>
      <c r="G27" s="575"/>
      <c r="H27" s="575"/>
      <c r="I27" s="575"/>
      <c r="J27" s="481"/>
      <c r="K27" s="481"/>
      <c r="L27" s="482"/>
      <c r="M27" s="501"/>
      <c r="N27" s="484">
        <f>SUM(N28:N28)</f>
        <v>0</v>
      </c>
      <c r="O27" s="484"/>
      <c r="P27" s="501"/>
      <c r="Q27" s="484">
        <f>SUM(Q28:Q28)</f>
        <v>0</v>
      </c>
      <c r="R27" s="484">
        <f>N27+Q27</f>
        <v>0</v>
      </c>
    </row>
    <row r="28" spans="1:19" ht="12.75" customHeight="1">
      <c r="A28" s="485" t="s">
        <v>580</v>
      </c>
      <c r="B28" s="107" t="s">
        <v>650</v>
      </c>
      <c r="C28" s="568" t="s">
        <v>651</v>
      </c>
      <c r="D28" s="568"/>
      <c r="E28" s="568"/>
      <c r="F28" s="568"/>
      <c r="G28" s="568"/>
      <c r="H28" s="568"/>
      <c r="I28" s="568"/>
      <c r="J28" s="489">
        <v>109.48</v>
      </c>
      <c r="K28" s="486" t="s">
        <v>588</v>
      </c>
      <c r="L28" s="502"/>
      <c r="M28" s="488">
        <f>ROUND(L28*$E$2,2)</f>
        <v>0</v>
      </c>
      <c r="N28" s="488"/>
      <c r="O28" s="488"/>
      <c r="P28" s="488"/>
      <c r="Q28" s="488"/>
      <c r="R28" s="491">
        <f>ROUND(N28+Q28,2)</f>
        <v>0</v>
      </c>
      <c r="S28" s="226"/>
    </row>
    <row r="29" spans="1:18" ht="12.75">
      <c r="A29" s="492" t="s">
        <v>581</v>
      </c>
      <c r="B29" s="744" t="s">
        <v>647</v>
      </c>
      <c r="C29" s="744"/>
      <c r="D29" s="744"/>
      <c r="E29" s="744"/>
      <c r="F29" s="744"/>
      <c r="G29" s="744"/>
      <c r="H29" s="744"/>
      <c r="I29" s="744"/>
      <c r="J29" s="481"/>
      <c r="K29" s="481"/>
      <c r="L29" s="482"/>
      <c r="M29" s="501"/>
      <c r="N29" s="484">
        <f>SUM(N30:N30)</f>
        <v>0</v>
      </c>
      <c r="O29" s="484"/>
      <c r="P29" s="501"/>
      <c r="Q29" s="484">
        <f>SUM(Q30:Q30)</f>
        <v>0</v>
      </c>
      <c r="R29" s="484">
        <f>N29+Q29</f>
        <v>0</v>
      </c>
    </row>
    <row r="30" spans="1:19" ht="12.75" customHeight="1">
      <c r="A30" s="485" t="s">
        <v>582</v>
      </c>
      <c r="B30" s="107" t="s">
        <v>650</v>
      </c>
      <c r="C30" s="568" t="s">
        <v>652</v>
      </c>
      <c r="D30" s="568"/>
      <c r="E30" s="568"/>
      <c r="F30" s="568"/>
      <c r="G30" s="568"/>
      <c r="H30" s="568"/>
      <c r="I30" s="568"/>
      <c r="J30" s="489">
        <v>421.63</v>
      </c>
      <c r="K30" s="487" t="s">
        <v>588</v>
      </c>
      <c r="L30" s="490"/>
      <c r="M30" s="488">
        <f>ROUND(L30*$E$2,2)</f>
        <v>0</v>
      </c>
      <c r="N30" s="488"/>
      <c r="O30" s="488"/>
      <c r="P30" s="488"/>
      <c r="Q30" s="488"/>
      <c r="R30" s="491">
        <f>ROUND(N30+Q30,2)</f>
        <v>0</v>
      </c>
      <c r="S30" s="226"/>
    </row>
    <row r="31" spans="1:19" ht="12.75">
      <c r="A31" s="492" t="s">
        <v>399</v>
      </c>
      <c r="B31" s="575" t="s">
        <v>102</v>
      </c>
      <c r="C31" s="575"/>
      <c r="D31" s="575"/>
      <c r="E31" s="575"/>
      <c r="F31" s="575"/>
      <c r="G31" s="575"/>
      <c r="H31" s="575"/>
      <c r="I31" s="575"/>
      <c r="J31" s="481"/>
      <c r="K31" s="481"/>
      <c r="L31" s="482"/>
      <c r="M31" s="483"/>
      <c r="N31" s="484">
        <f>N32+N34</f>
        <v>0</v>
      </c>
      <c r="O31" s="484"/>
      <c r="P31" s="483"/>
      <c r="Q31" s="484">
        <f>Q32+Q34</f>
        <v>0</v>
      </c>
      <c r="R31" s="484">
        <f>R32+R34</f>
        <v>0</v>
      </c>
      <c r="S31" s="226"/>
    </row>
    <row r="32" spans="1:18" ht="12.75">
      <c r="A32" s="492" t="s">
        <v>583</v>
      </c>
      <c r="B32" s="575" t="s">
        <v>648</v>
      </c>
      <c r="C32" s="575"/>
      <c r="D32" s="575"/>
      <c r="E32" s="575"/>
      <c r="F32" s="575"/>
      <c r="G32" s="575"/>
      <c r="H32" s="575"/>
      <c r="I32" s="575"/>
      <c r="J32" s="481"/>
      <c r="K32" s="481"/>
      <c r="L32" s="482"/>
      <c r="M32" s="501"/>
      <c r="N32" s="484">
        <f>SUM(N33:N33)</f>
        <v>0</v>
      </c>
      <c r="O32" s="484"/>
      <c r="P32" s="501"/>
      <c r="Q32" s="484">
        <f>SUM(Q33:Q33)</f>
        <v>0</v>
      </c>
      <c r="R32" s="484">
        <f>N32+Q32</f>
        <v>0</v>
      </c>
    </row>
    <row r="33" spans="1:19" ht="18" customHeight="1">
      <c r="A33" s="485" t="s">
        <v>584</v>
      </c>
      <c r="B33" s="107" t="s">
        <v>654</v>
      </c>
      <c r="C33" s="568" t="s">
        <v>653</v>
      </c>
      <c r="D33" s="568"/>
      <c r="E33" s="568"/>
      <c r="F33" s="568"/>
      <c r="G33" s="568"/>
      <c r="H33" s="568"/>
      <c r="I33" s="568"/>
      <c r="J33" s="489">
        <v>142.52</v>
      </c>
      <c r="K33" s="486" t="s">
        <v>587</v>
      </c>
      <c r="L33" s="502"/>
      <c r="M33" s="488">
        <f>ROUND(L33*$E$2,2)</f>
        <v>0</v>
      </c>
      <c r="N33" s="488"/>
      <c r="O33" s="488"/>
      <c r="P33" s="488"/>
      <c r="Q33" s="488"/>
      <c r="R33" s="491">
        <f>ROUND(N33+Q33,2)</f>
        <v>0</v>
      </c>
      <c r="S33" s="226"/>
    </row>
    <row r="34" spans="1:18" ht="12.75">
      <c r="A34" s="492" t="s">
        <v>589</v>
      </c>
      <c r="B34" s="744" t="s">
        <v>649</v>
      </c>
      <c r="C34" s="744"/>
      <c r="D34" s="744"/>
      <c r="E34" s="744"/>
      <c r="F34" s="744"/>
      <c r="G34" s="744"/>
      <c r="H34" s="744"/>
      <c r="I34" s="744"/>
      <c r="J34" s="481"/>
      <c r="K34" s="481"/>
      <c r="L34" s="482"/>
      <c r="M34" s="501"/>
      <c r="N34" s="484">
        <f>SUM(N35:N35)</f>
        <v>0</v>
      </c>
      <c r="O34" s="484"/>
      <c r="P34" s="501"/>
      <c r="Q34" s="484">
        <f>SUM(Q35:Q35)</f>
        <v>0</v>
      </c>
      <c r="R34" s="484">
        <f>N34+Q34</f>
        <v>0</v>
      </c>
    </row>
    <row r="35" spans="1:19" ht="19.5" customHeight="1">
      <c r="A35" s="485" t="s">
        <v>585</v>
      </c>
      <c r="B35" s="107" t="s">
        <v>655</v>
      </c>
      <c r="C35" s="568" t="s">
        <v>656</v>
      </c>
      <c r="D35" s="568"/>
      <c r="E35" s="568"/>
      <c r="F35" s="568"/>
      <c r="G35" s="568"/>
      <c r="H35" s="568"/>
      <c r="I35" s="568"/>
      <c r="J35" s="489">
        <v>7.12</v>
      </c>
      <c r="K35" s="487" t="s">
        <v>588</v>
      </c>
      <c r="L35" s="490"/>
      <c r="M35" s="488">
        <f>ROUND(L35*$E$2,2)</f>
        <v>0</v>
      </c>
      <c r="N35" s="488"/>
      <c r="O35" s="488"/>
      <c r="P35" s="488"/>
      <c r="Q35" s="488"/>
      <c r="R35" s="491">
        <f>ROUND(N35+Q35,2)</f>
        <v>0</v>
      </c>
      <c r="S35" s="226"/>
    </row>
    <row r="36" spans="1:18" ht="19.5" customHeight="1">
      <c r="A36" s="511"/>
      <c r="B36" s="745"/>
      <c r="C36" s="744"/>
      <c r="D36" s="744"/>
      <c r="E36" s="744"/>
      <c r="F36" s="744"/>
      <c r="G36" s="744"/>
      <c r="H36" s="744"/>
      <c r="I36" s="746"/>
      <c r="J36" s="512"/>
      <c r="K36" s="512"/>
      <c r="L36" s="513"/>
      <c r="M36" s="514"/>
      <c r="N36" s="516"/>
      <c r="O36" s="516"/>
      <c r="P36" s="514"/>
      <c r="Q36" s="515" t="s">
        <v>662</v>
      </c>
      <c r="R36" s="484">
        <f>R4</f>
        <v>0</v>
      </c>
    </row>
    <row r="37" ht="13.5" customHeight="1"/>
    <row r="38" ht="12.75">
      <c r="I38" t="s">
        <v>665</v>
      </c>
    </row>
    <row r="40" spans="3:8" ht="12.75" customHeight="1">
      <c r="C40" s="507" t="s">
        <v>663</v>
      </c>
      <c r="D40" s="505"/>
      <c r="E40" s="506"/>
      <c r="F40" s="506"/>
      <c r="G40" s="506"/>
      <c r="H40" s="506"/>
    </row>
    <row r="41" spans="4:7" ht="12.75" customHeight="1">
      <c r="D41" s="508"/>
      <c r="E41" s="508" t="s">
        <v>628</v>
      </c>
      <c r="F41" s="508"/>
      <c r="G41" s="504"/>
    </row>
    <row r="42" spans="4:7" ht="12.75" customHeight="1">
      <c r="D42" s="508"/>
      <c r="E42" s="509" t="s">
        <v>661</v>
      </c>
      <c r="F42" s="508"/>
      <c r="G42" s="504"/>
    </row>
    <row r="43" spans="4:7" ht="12.75" customHeight="1">
      <c r="D43" s="508"/>
      <c r="E43" s="509" t="s">
        <v>629</v>
      </c>
      <c r="F43" s="508"/>
      <c r="G43" s="504"/>
    </row>
    <row r="45" ht="12.75" customHeight="1"/>
    <row r="46" ht="29.25" customHeight="1"/>
    <row r="47" ht="23.25" customHeight="1"/>
    <row r="48" ht="20.25" customHeight="1"/>
    <row r="49" ht="21.75" customHeight="1"/>
    <row r="50" ht="12.75" customHeight="1"/>
    <row r="53" ht="12.75" customHeight="1"/>
    <row r="54" ht="12.75" customHeight="1"/>
    <row r="55" ht="24" customHeight="1"/>
    <row r="56" ht="21" customHeight="1"/>
    <row r="58" ht="18" customHeight="1"/>
    <row r="59" ht="33" customHeight="1"/>
    <row r="60" ht="21.75" customHeight="1"/>
    <row r="61" ht="20.25" customHeight="1"/>
    <row r="62" ht="20.25" customHeight="1"/>
    <row r="63" ht="15.75" customHeight="1"/>
    <row r="66" ht="12.75" customHeight="1"/>
  </sheetData>
  <sheetProtection/>
  <mergeCells count="36">
    <mergeCell ref="B36:I36"/>
    <mergeCell ref="C24:I24"/>
    <mergeCell ref="C28:I28"/>
    <mergeCell ref="C35:I35"/>
    <mergeCell ref="B31:I31"/>
    <mergeCell ref="B32:I32"/>
    <mergeCell ref="C33:I33"/>
    <mergeCell ref="B29:I29"/>
    <mergeCell ref="C30:I30"/>
    <mergeCell ref="B34:I34"/>
    <mergeCell ref="C17:I17"/>
    <mergeCell ref="C18:I18"/>
    <mergeCell ref="C19:I19"/>
    <mergeCell ref="C25:I25"/>
    <mergeCell ref="B26:I26"/>
    <mergeCell ref="B27:I27"/>
    <mergeCell ref="C20:I20"/>
    <mergeCell ref="C21:I21"/>
    <mergeCell ref="C22:I22"/>
    <mergeCell ref="C23:I23"/>
    <mergeCell ref="C14:I14"/>
    <mergeCell ref="B15:I15"/>
    <mergeCell ref="C16:I16"/>
    <mergeCell ref="C6:I6"/>
    <mergeCell ref="B7:I7"/>
    <mergeCell ref="C8:I8"/>
    <mergeCell ref="C9:I9"/>
    <mergeCell ref="C11:I11"/>
    <mergeCell ref="C12:I12"/>
    <mergeCell ref="C13:I13"/>
    <mergeCell ref="A1:R1"/>
    <mergeCell ref="K2:M2"/>
    <mergeCell ref="C3:I3"/>
    <mergeCell ref="B4:I4"/>
    <mergeCell ref="B5:I5"/>
    <mergeCell ref="C10:I10"/>
  </mergeCells>
  <printOptions gridLines="1"/>
  <pageMargins left="0.5118110236220472" right="0.5118110236220472" top="0.7874015748031497" bottom="0.7874015748031497" header="0.31496062992125984" footer="0.31496062992125984"/>
  <pageSetup horizontalDpi="600" verticalDpi="600" orientation="landscape" paperSize="9" scale="46" r:id="rId1"/>
  <colBreaks count="1" manualBreakCount="1">
    <brk id="18" max="4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Jeferson</dc:creator>
  <cp:keywords/>
  <dc:description/>
  <cp:lastModifiedBy>User</cp:lastModifiedBy>
  <cp:lastPrinted>2022-06-22T18:59:48Z</cp:lastPrinted>
  <dcterms:created xsi:type="dcterms:W3CDTF">2015-12-28T18:30:34Z</dcterms:created>
  <dcterms:modified xsi:type="dcterms:W3CDTF">2022-06-24T11:53:34Z</dcterms:modified>
  <cp:category/>
  <cp:version/>
  <cp:contentType/>
  <cp:contentStatus/>
</cp:coreProperties>
</file>