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255" yWindow="315" windowWidth="11910" windowHeight="10095" activeTab="1"/>
  </bookViews>
  <sheets>
    <sheet name="Orgânico" sheetId="4" r:id="rId1"/>
    <sheet name="Seco" sheetId="3" r:id="rId2"/>
    <sheet name="Plan5" sheetId="5" r:id="rId3"/>
  </sheets>
  <definedNames>
    <definedName name="_xlnm.Print_Area" localSheetId="0">Orgânico!$A$1:$F$247</definedName>
    <definedName name="_xlnm.Print_Area" localSheetId="1">Seco!$A$1:$F$241</definedName>
  </definedNames>
  <calcPr calcId="145621"/>
</workbook>
</file>

<file path=xl/calcChain.xml><?xml version="1.0" encoding="utf-8"?>
<calcChain xmlns="http://schemas.openxmlformats.org/spreadsheetml/2006/main">
  <c r="F106" i="3" l="1"/>
  <c r="A229" i="3" l="1"/>
  <c r="F173" i="4" l="1"/>
  <c r="F167" i="3"/>
  <c r="F15" i="4" l="1"/>
  <c r="F12" i="3" l="1"/>
  <c r="F193" i="3" l="1"/>
  <c r="F187" i="3"/>
  <c r="F162" i="3"/>
  <c r="F160" i="3"/>
  <c r="F11" i="4"/>
  <c r="F11" i="3"/>
  <c r="F77" i="3" l="1"/>
  <c r="F74" i="3"/>
  <c r="F73" i="3"/>
  <c r="F154" i="3"/>
  <c r="F123" i="4" l="1"/>
  <c r="F200" i="3" l="1"/>
  <c r="F198" i="3"/>
  <c r="F197" i="3"/>
  <c r="F196" i="3"/>
  <c r="F195" i="3"/>
  <c r="F194" i="3"/>
  <c r="F189" i="3"/>
  <c r="F188" i="3"/>
  <c r="F168" i="3"/>
  <c r="F166" i="3"/>
  <c r="F152" i="3"/>
  <c r="F151" i="3"/>
  <c r="F149" i="3"/>
  <c r="F145" i="3"/>
  <c r="F141" i="3"/>
  <c r="F60" i="3"/>
  <c r="F136" i="3"/>
  <c r="F133" i="3"/>
  <c r="F124" i="3"/>
  <c r="F123" i="3"/>
  <c r="F118" i="3"/>
  <c r="F111" i="3"/>
  <c r="F101" i="3"/>
  <c r="F104" i="4"/>
  <c r="F96" i="3"/>
  <c r="F95" i="3"/>
  <c r="F92" i="3"/>
  <c r="F89" i="3"/>
  <c r="F190" i="3" l="1"/>
  <c r="F191" i="3" s="1"/>
  <c r="F65" i="3"/>
  <c r="F164" i="3" s="1"/>
  <c r="F10" i="3"/>
  <c r="F80" i="3" s="1"/>
  <c r="F107" i="3"/>
  <c r="F125" i="3"/>
  <c r="F199" i="3"/>
  <c r="F201" i="3" s="1"/>
  <c r="F147" i="4"/>
  <c r="F206" i="4"/>
  <c r="F205" i="4"/>
  <c r="F204" i="4"/>
  <c r="F203" i="4"/>
  <c r="F202" i="4"/>
  <c r="F201" i="4"/>
  <c r="F200" i="4"/>
  <c r="F199" i="4"/>
  <c r="F195" i="4"/>
  <c r="F194" i="4"/>
  <c r="F193" i="4"/>
  <c r="F174" i="4"/>
  <c r="F172" i="4"/>
  <c r="F171" i="4"/>
  <c r="F169" i="4"/>
  <c r="F168" i="4"/>
  <c r="F166" i="4"/>
  <c r="F160" i="4"/>
  <c r="F158" i="4"/>
  <c r="F157" i="4"/>
  <c r="F155" i="4"/>
  <c r="F151" i="4"/>
  <c r="F142" i="4"/>
  <c r="F139" i="4"/>
  <c r="F129" i="4"/>
  <c r="F127" i="4"/>
  <c r="F120" i="4"/>
  <c r="F124" i="4" s="1"/>
  <c r="F115" i="4"/>
  <c r="F112" i="4"/>
  <c r="F132" i="4"/>
  <c r="F133" i="4" s="1"/>
  <c r="F107" i="4"/>
  <c r="F108" i="4" s="1"/>
  <c r="F98" i="4"/>
  <c r="F97" i="4"/>
  <c r="F94" i="4"/>
  <c r="F91" i="4"/>
  <c r="F70" i="4"/>
  <c r="F61" i="4"/>
  <c r="F159" i="4"/>
  <c r="F128" i="4"/>
  <c r="F126" i="4"/>
  <c r="F10" i="4"/>
  <c r="F81" i="4" l="1"/>
  <c r="F74" i="4"/>
  <c r="F207" i="4"/>
  <c r="F208" i="4" s="1"/>
  <c r="F116" i="4"/>
  <c r="F196" i="4"/>
  <c r="F197" i="4" s="1"/>
  <c r="F202" i="3"/>
  <c r="F203" i="3" s="1"/>
  <c r="F161" i="3"/>
  <c r="F165" i="3"/>
  <c r="F175" i="3"/>
  <c r="F174" i="3"/>
  <c r="F181" i="3"/>
  <c r="F180" i="3"/>
  <c r="F163" i="3"/>
  <c r="F188" i="4"/>
  <c r="F76" i="4"/>
  <c r="F77" i="4"/>
  <c r="F182" i="3"/>
  <c r="F177" i="3"/>
  <c r="F176" i="3"/>
  <c r="F126" i="3"/>
  <c r="F127" i="3" s="1"/>
  <c r="F69" i="3"/>
  <c r="F183" i="3"/>
  <c r="F81" i="3"/>
  <c r="F121" i="3"/>
  <c r="F114" i="3"/>
  <c r="F103" i="3"/>
  <c r="F153" i="3"/>
  <c r="F155" i="3" s="1"/>
  <c r="F130" i="4"/>
  <c r="F183" i="4"/>
  <c r="F161" i="4"/>
  <c r="F78" i="4"/>
  <c r="F167" i="4"/>
  <c r="F180" i="4"/>
  <c r="F182" i="4"/>
  <c r="F187" i="4"/>
  <c r="F189" i="4"/>
  <c r="F75" i="4"/>
  <c r="F170" i="4"/>
  <c r="F181" i="4"/>
  <c r="F186" i="4"/>
  <c r="F209" i="4" l="1"/>
  <c r="F169" i="3"/>
  <c r="F171" i="3" s="1"/>
  <c r="F184" i="3"/>
  <c r="F178" i="3"/>
  <c r="F131" i="3"/>
  <c r="F138" i="3"/>
  <c r="F134" i="3"/>
  <c r="F76" i="3"/>
  <c r="F75" i="3"/>
  <c r="F104" i="3"/>
  <c r="F190" i="4"/>
  <c r="F175" i="4"/>
  <c r="F177" i="4" s="1"/>
  <c r="F178" i="4" s="1"/>
  <c r="F82" i="4"/>
  <c r="F137" i="4" s="1"/>
  <c r="F184" i="4"/>
  <c r="F79" i="4"/>
  <c r="F100" i="4" s="1"/>
  <c r="F210" i="4" l="1"/>
  <c r="F83" i="4"/>
  <c r="F172" i="3"/>
  <c r="F204" i="3" s="1"/>
  <c r="F78" i="3"/>
  <c r="F98" i="3" s="1"/>
  <c r="F140" i="4"/>
  <c r="F144" i="4"/>
  <c r="F95" i="4"/>
  <c r="F89" i="4"/>
  <c r="F92" i="4"/>
  <c r="F162" i="4" l="1"/>
  <c r="F213" i="4" s="1"/>
  <c r="F93" i="3"/>
  <c r="F90" i="3"/>
  <c r="F87" i="3"/>
  <c r="F156" i="3" l="1"/>
  <c r="F207" i="3" s="1"/>
  <c r="F209" i="3" s="1"/>
  <c r="F212" i="3" s="1"/>
  <c r="F214" i="3" s="1"/>
  <c r="F222" i="3" s="1"/>
  <c r="F215" i="4"/>
  <c r="F218" i="4" s="1"/>
  <c r="F224" i="3" l="1"/>
  <c r="F217" i="3"/>
  <c r="F220" i="4"/>
  <c r="F228" i="4" s="1"/>
  <c r="F230" i="4" s="1"/>
  <c r="F224" i="4" l="1"/>
  <c r="F223" i="4"/>
  <c r="F225" i="4"/>
  <c r="F218" i="3" l="1"/>
  <c r="F219" i="3"/>
  <c r="F226" i="4"/>
  <c r="F220" i="3" l="1"/>
</calcChain>
</file>

<file path=xl/sharedStrings.xml><?xml version="1.0" encoding="utf-8"?>
<sst xmlns="http://schemas.openxmlformats.org/spreadsheetml/2006/main" count="1207" uniqueCount="550">
  <si>
    <t>A</t>
  </si>
  <si>
    <t>UNIDADE</t>
  </si>
  <si>
    <t>TOTAL</t>
  </si>
  <si>
    <t>A1</t>
  </si>
  <si>
    <t>Dias de coleta/ano</t>
  </si>
  <si>
    <t>Dias</t>
  </si>
  <si>
    <t>A2</t>
  </si>
  <si>
    <t>Dias/mês</t>
  </si>
  <si>
    <t>A3</t>
  </si>
  <si>
    <t>Coleta Central  (2ª a sábado)</t>
  </si>
  <si>
    <t>Km/dia</t>
  </si>
  <si>
    <t>A4</t>
  </si>
  <si>
    <t>A5</t>
  </si>
  <si>
    <t>A6</t>
  </si>
  <si>
    <t>A7</t>
  </si>
  <si>
    <t>R$/l</t>
  </si>
  <si>
    <t>A8</t>
  </si>
  <si>
    <t>R$/un.</t>
  </si>
  <si>
    <t>A9</t>
  </si>
  <si>
    <t>A12</t>
  </si>
  <si>
    <t>A13</t>
  </si>
  <si>
    <t>A14</t>
  </si>
  <si>
    <t>A15</t>
  </si>
  <si>
    <t>Preço Boné</t>
  </si>
  <si>
    <t>A16</t>
  </si>
  <si>
    <t xml:space="preserve">Preço Calçado de Segurança                                         </t>
  </si>
  <si>
    <t>A17</t>
  </si>
  <si>
    <t>A18</t>
  </si>
  <si>
    <t>Preço Luva reforçada para o recolhimento resíduos sólidos</t>
  </si>
  <si>
    <t>A19</t>
  </si>
  <si>
    <t>R$/mês</t>
  </si>
  <si>
    <t>A20</t>
  </si>
  <si>
    <t xml:space="preserve">Salário base do Coletor                                </t>
  </si>
  <si>
    <t>A21</t>
  </si>
  <si>
    <t>A22</t>
  </si>
  <si>
    <t xml:space="preserve">Salário base do Auxiliar Administrativo        </t>
  </si>
  <si>
    <t>A23</t>
  </si>
  <si>
    <t>A24</t>
  </si>
  <si>
    <t xml:space="preserve">Preço compactador 15m³ (8,4 ton)        </t>
  </si>
  <si>
    <t>A25</t>
  </si>
  <si>
    <t>A26</t>
  </si>
  <si>
    <t xml:space="preserve">Vale transporte                              </t>
  </si>
  <si>
    <t>A27</t>
  </si>
  <si>
    <t>Encargos sociais</t>
  </si>
  <si>
    <t>%</t>
  </si>
  <si>
    <t>A28</t>
  </si>
  <si>
    <t>R$/ano/veículo</t>
  </si>
  <si>
    <t>A29</t>
  </si>
  <si>
    <t>A30</t>
  </si>
  <si>
    <t>A31</t>
  </si>
  <si>
    <t>Resíduos sólidos recolhidos</t>
  </si>
  <si>
    <t>Tonelada/mês</t>
  </si>
  <si>
    <t>B</t>
  </si>
  <si>
    <t>FROTA DE VEÍCULOS</t>
  </si>
  <si>
    <t>B1</t>
  </si>
  <si>
    <t>Coleta diurna</t>
  </si>
  <si>
    <t>veículos</t>
  </si>
  <si>
    <t>B2</t>
  </si>
  <si>
    <t>Coleta noturna (três dos mesmos veículos usados na coleta diurna)</t>
  </si>
  <si>
    <t>B3</t>
  </si>
  <si>
    <t>Reserva técnica  (não necessária no município)</t>
  </si>
  <si>
    <t>B4</t>
  </si>
  <si>
    <t>C</t>
  </si>
  <si>
    <t>QUILOMETRAGEM PERCORRIDA</t>
  </si>
  <si>
    <t>C1</t>
  </si>
  <si>
    <t>Km/mês</t>
  </si>
  <si>
    <t>C2</t>
  </si>
  <si>
    <t>C3</t>
  </si>
  <si>
    <t>C4</t>
  </si>
  <si>
    <t>C5</t>
  </si>
  <si>
    <t>CUSTO DE FROTA</t>
  </si>
  <si>
    <t>1.1</t>
  </si>
  <si>
    <t>1.1.1</t>
  </si>
  <si>
    <t>Coeficiente de consumo</t>
  </si>
  <si>
    <t>l/Km</t>
  </si>
  <si>
    <t>1.1.2</t>
  </si>
  <si>
    <t>1.2</t>
  </si>
  <si>
    <t>LUBRIFICANTES E LAVAGEM</t>
  </si>
  <si>
    <t>1.2.1</t>
  </si>
  <si>
    <t>1.2.2</t>
  </si>
  <si>
    <t>1.3</t>
  </si>
  <si>
    <t>CUSTO DE RODAGEM</t>
  </si>
  <si>
    <t>1.3.1</t>
  </si>
  <si>
    <t>R$/jogo</t>
  </si>
  <si>
    <t>1.3.2</t>
  </si>
  <si>
    <t>Km</t>
  </si>
  <si>
    <t>1.4</t>
  </si>
  <si>
    <t>1.4.1</t>
  </si>
  <si>
    <t>Fator de manutenção dos veículos</t>
  </si>
  <si>
    <t>%/mês</t>
  </si>
  <si>
    <t>1.4.2</t>
  </si>
  <si>
    <t>1.4.3</t>
  </si>
  <si>
    <t xml:space="preserve">Fator manutenção compactadores </t>
  </si>
  <si>
    <t>1.4.4</t>
  </si>
  <si>
    <t>1.5</t>
  </si>
  <si>
    <t>SISTEMA DE RASTREAMENTO VIA SATÉLITE</t>
  </si>
  <si>
    <t>1.5.1</t>
  </si>
  <si>
    <t>Custo de aluguel do sistema de rastreamento por veículo</t>
  </si>
  <si>
    <t>R$/mês/veículo</t>
  </si>
  <si>
    <t>1.5.2</t>
  </si>
  <si>
    <t>1.6</t>
  </si>
  <si>
    <t xml:space="preserve">DEPRECIAÇÃO </t>
  </si>
  <si>
    <t>1.6.1</t>
  </si>
  <si>
    <t>DOS VEÍCULOS</t>
  </si>
  <si>
    <t>1.6.1.1</t>
  </si>
  <si>
    <t>Fator de depreciação</t>
  </si>
  <si>
    <t>1.6.1.2</t>
  </si>
  <si>
    <t>1.6.2</t>
  </si>
  <si>
    <t>DOS COMPACTADORES</t>
  </si>
  <si>
    <t>1.6.2.1</t>
  </si>
  <si>
    <t>1.6.2.2</t>
  </si>
  <si>
    <t>1.7</t>
  </si>
  <si>
    <t>REMUNERAÇÃO</t>
  </si>
  <si>
    <t>1.7.1</t>
  </si>
  <si>
    <t>DO CAPITAL INVESTIDO EM VEÍCULOS</t>
  </si>
  <si>
    <t>1.7.1.1</t>
  </si>
  <si>
    <t xml:space="preserve">Fator de remuneração do veículo </t>
  </si>
  <si>
    <t>1.7.1.2</t>
  </si>
  <si>
    <t>1.7.2</t>
  </si>
  <si>
    <t>DO CAPITAL INVESTIDO EM COMPACTADORES</t>
  </si>
  <si>
    <t>1.7.2.1</t>
  </si>
  <si>
    <t>Fator de remuneração dos compactadores</t>
  </si>
  <si>
    <t>1.7.2.2</t>
  </si>
  <si>
    <t>1.8</t>
  </si>
  <si>
    <t>LICENCIAMENTO E SEGURO</t>
  </si>
  <si>
    <t>1.8.1</t>
  </si>
  <si>
    <t>1.8.2</t>
  </si>
  <si>
    <t>1.8.3</t>
  </si>
  <si>
    <t>1.8.4</t>
  </si>
  <si>
    <t>2.1</t>
  </si>
  <si>
    <t>2.2.1</t>
  </si>
  <si>
    <t>2.2.2</t>
  </si>
  <si>
    <t>2.3</t>
  </si>
  <si>
    <t>SALÁRIOS</t>
  </si>
  <si>
    <t>2.4</t>
  </si>
  <si>
    <t>ENCARGOS SOCIAIS</t>
  </si>
  <si>
    <t>2.4.1</t>
  </si>
  <si>
    <t>2.4.2</t>
  </si>
  <si>
    <t>2.4.3</t>
  </si>
  <si>
    <t xml:space="preserve">Custo total dos encargos sociais                                </t>
  </si>
  <si>
    <t>2.5.1</t>
  </si>
  <si>
    <t xml:space="preserve">AUXILIO ALIMENTAÇÃO                        </t>
  </si>
  <si>
    <t>2.5.1.1</t>
  </si>
  <si>
    <t>2.5.1.2</t>
  </si>
  <si>
    <t>2.5.1.3</t>
  </si>
  <si>
    <t>2.5.1.4</t>
  </si>
  <si>
    <t>2.5.1.5</t>
  </si>
  <si>
    <t xml:space="preserve">Custo total do auxilio alimentação                                </t>
  </si>
  <si>
    <t>2.5.2</t>
  </si>
  <si>
    <t>VALE TRANSPORTE</t>
  </si>
  <si>
    <t>2.5.2.1</t>
  </si>
  <si>
    <t>2.5.2.2</t>
  </si>
  <si>
    <t>2.5.2.3</t>
  </si>
  <si>
    <t>2.5.2.4</t>
  </si>
  <si>
    <t>2.5.2.5</t>
  </si>
  <si>
    <t xml:space="preserve">Custo total do vale transporte          </t>
  </si>
  <si>
    <t>2.6</t>
  </si>
  <si>
    <t>UNIFORMES/EPI's</t>
  </si>
  <si>
    <t xml:space="preserve">MOTORISTAS </t>
  </si>
  <si>
    <t>COLETORES</t>
  </si>
  <si>
    <t>2.7</t>
  </si>
  <si>
    <t>TOTAL CUSTO COM MÃO DE OBRA</t>
  </si>
  <si>
    <t>3.1</t>
  </si>
  <si>
    <t>DESPESAS ADMINISTRATIVAS</t>
  </si>
  <si>
    <t>4.1</t>
  </si>
  <si>
    <t>4.2</t>
  </si>
  <si>
    <t>5.3</t>
  </si>
  <si>
    <t>LUCRO</t>
  </si>
  <si>
    <t>IMPOSTOS E CONTRIBUIÇÕES</t>
  </si>
  <si>
    <t xml:space="preserve">TOTAL DE IMPOSTOS E CONTRIBUIÇÕES                     </t>
  </si>
  <si>
    <t>R$/tonelada</t>
  </si>
  <si>
    <t>COLETA DE RESÍDUOS SÓLIDOS DOMICILIARES</t>
  </si>
  <si>
    <t>Preço Aluguel de Sistema de Monitoramento Via Satélite</t>
  </si>
  <si>
    <t>R$/mês/veic.</t>
  </si>
  <si>
    <t xml:space="preserve">Preço do ARLA </t>
  </si>
  <si>
    <t>ARLA</t>
  </si>
  <si>
    <t>Coeficiente de consumo em relação ao diesel</t>
  </si>
  <si>
    <t>Taxa de expedição do documento (CRLV)</t>
  </si>
  <si>
    <t>MANUTENÇÃO (PEÇAS E ACESSÓRIOS)</t>
  </si>
  <si>
    <t xml:space="preserve">Custo Taxa de expedição de documento (CRLV) </t>
  </si>
  <si>
    <t>Total vida útil pneu com 2 recapagens</t>
  </si>
  <si>
    <t>INSUMOS BÁSICOS</t>
  </si>
  <si>
    <t>Coeficiente de consumo com lubrificantes e lavagem</t>
  </si>
  <si>
    <t>R$/Km</t>
  </si>
  <si>
    <t>Auxilio alimentação  (-15%)</t>
  </si>
  <si>
    <t>R$/dia</t>
  </si>
  <si>
    <t>MÃO DE OBRA DIRETA</t>
  </si>
  <si>
    <t>Motoristas Diurno</t>
  </si>
  <si>
    <t>Motoristas Noturno</t>
  </si>
  <si>
    <t>Coletores Diurno</t>
  </si>
  <si>
    <t>Coletores Noturno</t>
  </si>
  <si>
    <t>Gerente/Encarregado/Supervisor</t>
  </si>
  <si>
    <t>Auxiliar de Escritório/Administrativo</t>
  </si>
  <si>
    <t>funcionários</t>
  </si>
  <si>
    <t>D</t>
  </si>
  <si>
    <t>D1</t>
  </si>
  <si>
    <t>D2</t>
  </si>
  <si>
    <t>D3</t>
  </si>
  <si>
    <t>D4</t>
  </si>
  <si>
    <t>D5</t>
  </si>
  <si>
    <t>D6</t>
  </si>
  <si>
    <t>D7</t>
  </si>
  <si>
    <t>Preço veículo coleta</t>
  </si>
  <si>
    <t>Preço de veículo auxiliar</t>
  </si>
  <si>
    <t>Preço da gasolina</t>
  </si>
  <si>
    <t>Seguro obrigatório (DPVAT) Caminhões</t>
  </si>
  <si>
    <t>Seguro obrigatório (DPVAT) Automóvel</t>
  </si>
  <si>
    <t>Total de veículos para coleta</t>
  </si>
  <si>
    <t>Veículo Auxiliar</t>
  </si>
  <si>
    <t>B5</t>
  </si>
  <si>
    <t>B6</t>
  </si>
  <si>
    <t>TOTAL DA FROTA</t>
  </si>
  <si>
    <t>COLETA</t>
  </si>
  <si>
    <t>C6</t>
  </si>
  <si>
    <t>C7</t>
  </si>
  <si>
    <t>Quilometragem com o veículo auxiliar</t>
  </si>
  <si>
    <t>TOTAL QUILOMETRAGEM COM VEÍCULO AUXILIAR</t>
  </si>
  <si>
    <t>COMBUSTÍVEL COLETA</t>
  </si>
  <si>
    <t>VEÍCULO AUXILIAR</t>
  </si>
  <si>
    <t>Coleta Oeste (2ª , 4ª e 6ª)</t>
  </si>
  <si>
    <t>Coleta Leste  (3ª, 5ª e sábado)</t>
  </si>
  <si>
    <t>Coleta Interior (dias específicos)</t>
  </si>
  <si>
    <t>Km/semana</t>
  </si>
  <si>
    <t>Destinação final e deslocamentos garagem/área de coleta</t>
  </si>
  <si>
    <t>Coleta Interior</t>
  </si>
  <si>
    <t>Preço de um pneu novo (caminhão)</t>
  </si>
  <si>
    <t>Preço de uma recapagem de pneu (caminhão)</t>
  </si>
  <si>
    <t>Preço de um pneu novo (automóvel)</t>
  </si>
  <si>
    <t>Fator de manutenção do automóvel</t>
  </si>
  <si>
    <t>Total vida útil pneu s/ recapagem</t>
  </si>
  <si>
    <t>Preço Colete Refletivo</t>
  </si>
  <si>
    <t>Colete Refletivo (4 un./ano)</t>
  </si>
  <si>
    <t xml:space="preserve">TOTAL CUSTO DE FROTA </t>
  </si>
  <si>
    <t>Total custos de coleta e despesas administrativas</t>
  </si>
  <si>
    <t>Rodagem para veículo auxiliar</t>
  </si>
  <si>
    <t>CUSTO COM MÃO DE OBRA DIRETA</t>
  </si>
  <si>
    <t>Custo total de salários com mão de obra direta</t>
  </si>
  <si>
    <t xml:space="preserve">Custo total dos encargos sociais com mão de obra direta                    </t>
  </si>
  <si>
    <t>FROTA AUXILIAR</t>
  </si>
  <si>
    <t>FROTA COLETA</t>
  </si>
  <si>
    <t>COMBUSTÍVEL</t>
  </si>
  <si>
    <t>QUILOMETRAGEM DE COLETA</t>
  </si>
  <si>
    <t>QUILOMETRAGEM NA RODAGEM AUXILIAR</t>
  </si>
  <si>
    <t>TOTAL DE FUNCIONÁRIOS DA MÃO DE OBRA DIRETA</t>
  </si>
  <si>
    <t>Total do Custo de Coleta e Frota</t>
  </si>
  <si>
    <t>Preço carroceria tipo baú  de  27m³</t>
  </si>
  <si>
    <t>R$/veículo</t>
  </si>
  <si>
    <t>Coleta noturna</t>
  </si>
  <si>
    <t xml:space="preserve">Coleta Central </t>
  </si>
  <si>
    <t xml:space="preserve">Coleta Oeste </t>
  </si>
  <si>
    <t xml:space="preserve">Coleta Leste </t>
  </si>
  <si>
    <t xml:space="preserve">Destinação final </t>
  </si>
  <si>
    <t>CUSTOS DE FROTA</t>
  </si>
  <si>
    <t>Custo com lubrificantes e lavagem</t>
  </si>
  <si>
    <t>Total vida útil pneu com  a recapagem</t>
  </si>
  <si>
    <t>MANUTENÇÃO</t>
  </si>
  <si>
    <t xml:space="preserve">Fator de manutenção dos veículos </t>
  </si>
  <si>
    <t xml:space="preserve">Fator manutenção baús </t>
  </si>
  <si>
    <t xml:space="preserve">Custo total de manutenção   </t>
  </si>
  <si>
    <t xml:space="preserve">Fator de depreciação </t>
  </si>
  <si>
    <t>DO BAÚS</t>
  </si>
  <si>
    <t>Fator de remuneração do veículo</t>
  </si>
  <si>
    <t xml:space="preserve">Fator de remuneração dos baús </t>
  </si>
  <si>
    <t>1.8.5</t>
  </si>
  <si>
    <t>CUSTOS COM MÃO DE OBRA</t>
  </si>
  <si>
    <t>AUXILIO ALIMENTAÇÃO</t>
  </si>
  <si>
    <t xml:space="preserve">Custo total com auxílio alimentação                        </t>
  </si>
  <si>
    <t>Custo total com vale transporte</t>
  </si>
  <si>
    <t>R$/mês/func.</t>
  </si>
  <si>
    <t>Preço do ARLA</t>
  </si>
  <si>
    <t xml:space="preserve">Preço Calça                                             </t>
  </si>
  <si>
    <t xml:space="preserve">Preço Camiseta manga curta </t>
  </si>
  <si>
    <t xml:space="preserve">Preço Camiseta manga longa                                    </t>
  </si>
  <si>
    <t xml:space="preserve">Preço Calça                                            </t>
  </si>
  <si>
    <t>Preço Camiseta manga curta</t>
  </si>
  <si>
    <t xml:space="preserve">Preço Camiseta manga longa </t>
  </si>
  <si>
    <t>Salário base do Supervisor/Coordenador/Gerente</t>
  </si>
  <si>
    <t xml:space="preserve">Salário base do Supervisor/Coordenador/Gerente  </t>
  </si>
  <si>
    <t xml:space="preserve">Preço veículo  para coleta recicláveis           </t>
  </si>
  <si>
    <t xml:space="preserve">Auxilio alimentação (-15%)                           </t>
  </si>
  <si>
    <t xml:space="preserve">MÃO DE OBRA DIRETA </t>
  </si>
  <si>
    <t>Motristas diurno</t>
  </si>
  <si>
    <t>Motoristas noturno</t>
  </si>
  <si>
    <t>Coletores diurno</t>
  </si>
  <si>
    <t>Coletores noturno</t>
  </si>
  <si>
    <t>Semanas/mês</t>
  </si>
  <si>
    <t>Quilometragem Coleta Oeste (1x por semana)</t>
  </si>
  <si>
    <t>Quilometragem Coleta Leste (1x por semana)</t>
  </si>
  <si>
    <t>Quilometragem Destinação final e deslocamentos garagem/área de coleta</t>
  </si>
  <si>
    <t>Interior</t>
  </si>
  <si>
    <t>Quilometragem Coleta Interior (1x por semana)</t>
  </si>
  <si>
    <t>Total quilometragem percorrida pelo veículo auxiliar</t>
  </si>
  <si>
    <t>FROTA DE COLETA</t>
  </si>
  <si>
    <t>Total da frota de veículos</t>
  </si>
  <si>
    <t xml:space="preserve">Custo total de salários        </t>
  </si>
  <si>
    <t>Custo total com EPI's</t>
  </si>
  <si>
    <t>Total quilometragem percorrida na coleta</t>
  </si>
  <si>
    <t>A32</t>
  </si>
  <si>
    <t xml:space="preserve"> </t>
  </si>
  <si>
    <t>A10</t>
  </si>
  <si>
    <t>A11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</si>
  <si>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</si>
  <si>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</si>
  <si>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</si>
  <si>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</si>
  <si>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</si>
  <si>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</si>
  <si>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</si>
  <si>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</si>
  <si>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</si>
  <si>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</si>
  <si>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B7</t>
  </si>
  <si>
    <t>B8</t>
  </si>
  <si>
    <t>B9</t>
  </si>
  <si>
    <t>C8</t>
  </si>
  <si>
    <t>C9</t>
  </si>
  <si>
    <t>C10</t>
  </si>
  <si>
    <t>C11</t>
  </si>
  <si>
    <t xml:space="preserve">Média semanas </t>
  </si>
  <si>
    <t xml:space="preserve">Média dias de trabalho </t>
  </si>
  <si>
    <t>IPVA Caminhões (1%)</t>
  </si>
  <si>
    <t>IPVA Automóvel (3%)</t>
  </si>
  <si>
    <t>Seguro Contra Terceiros - Caminhão coletor</t>
  </si>
  <si>
    <t>Seguro Contra Terceiros - Automóvel</t>
  </si>
  <si>
    <t xml:space="preserve">Custo total de combustível da frota  </t>
  </si>
  <si>
    <t xml:space="preserve">Custo total de ARLA da frota  </t>
  </si>
  <si>
    <t xml:space="preserve">Custo total de lubrificantes da frota  </t>
  </si>
  <si>
    <t xml:space="preserve">Pneu                                                 </t>
  </si>
  <si>
    <t xml:space="preserve">Recapagem pneu (2 recapagens)                                      </t>
  </si>
  <si>
    <t xml:space="preserve">Custo total de rodagem </t>
  </si>
  <si>
    <t>1.5.3</t>
  </si>
  <si>
    <t>1.5.4</t>
  </si>
  <si>
    <t>1.5.5</t>
  </si>
  <si>
    <t>Custo de manutenção veículos</t>
  </si>
  <si>
    <t>Custo de manutenção dos compactadores</t>
  </si>
  <si>
    <t xml:space="preserve">Custo total de manutenção </t>
  </si>
  <si>
    <t>1.1.1.1</t>
  </si>
  <si>
    <t>1.5.1.1</t>
  </si>
  <si>
    <t>1.5.1.2</t>
  </si>
  <si>
    <t>1.5.2.1</t>
  </si>
  <si>
    <t>1.5.2.2</t>
  </si>
  <si>
    <t xml:space="preserve">Custo de depreciação dos veículos </t>
  </si>
  <si>
    <t>Custo de depreciação dos compactadores</t>
  </si>
  <si>
    <t xml:space="preserve">Custo total de depreciação </t>
  </si>
  <si>
    <t>1.6.3</t>
  </si>
  <si>
    <t xml:space="preserve">Custo de remuneração dos veículos </t>
  </si>
  <si>
    <t>Custo de remuneração dos compactadores</t>
  </si>
  <si>
    <t>Custo total de remuneração</t>
  </si>
  <si>
    <t>1.7.3</t>
  </si>
  <si>
    <t xml:space="preserve">Custo Seguro Obrigatório (DPVAT) </t>
  </si>
  <si>
    <t xml:space="preserve">Custo do seguro contra terceiros </t>
  </si>
  <si>
    <t>Custo IPVA</t>
  </si>
  <si>
    <t>Custo total de licenciamento e seguro</t>
  </si>
  <si>
    <t>1.9</t>
  </si>
  <si>
    <t>1.9.1</t>
  </si>
  <si>
    <t>1.9.2</t>
  </si>
  <si>
    <t xml:space="preserve">Custo total de aluguel do sistema de rastreamento </t>
  </si>
  <si>
    <t>1.10</t>
  </si>
  <si>
    <t>1.10.1</t>
  </si>
  <si>
    <t>1.10.2</t>
  </si>
  <si>
    <t>1.10.1.1</t>
  </si>
  <si>
    <t>1.11</t>
  </si>
  <si>
    <t>1.11.1</t>
  </si>
  <si>
    <t>1.11.2</t>
  </si>
  <si>
    <t>1.12</t>
  </si>
  <si>
    <t>1.12.1</t>
  </si>
  <si>
    <t>1.12.2</t>
  </si>
  <si>
    <t xml:space="preserve">Custo total de combustível veículo auxiliar  </t>
  </si>
  <si>
    <t xml:space="preserve">Custo total de lubrificantes da frota </t>
  </si>
  <si>
    <t>1.13</t>
  </si>
  <si>
    <t>1.13.1</t>
  </si>
  <si>
    <t>1.13.2</t>
  </si>
  <si>
    <t xml:space="preserve">Pneu                                        </t>
  </si>
  <si>
    <t>1.14</t>
  </si>
  <si>
    <t>1.14.1</t>
  </si>
  <si>
    <t>1.14.2</t>
  </si>
  <si>
    <t>1.15</t>
  </si>
  <si>
    <t>1.15.1</t>
  </si>
  <si>
    <t>1.15.2</t>
  </si>
  <si>
    <t>AUTOMÓVEL</t>
  </si>
  <si>
    <t>1.16</t>
  </si>
  <si>
    <t>1.16.1</t>
  </si>
  <si>
    <t>1.16.2</t>
  </si>
  <si>
    <t>1.16.3</t>
  </si>
  <si>
    <t xml:space="preserve">Custo total de depreciação dos veículos </t>
  </si>
  <si>
    <t xml:space="preserve">Custo total de remuneração dos veículos </t>
  </si>
  <si>
    <t>CAPITAL INVESTIDO EM VEÍCULOS</t>
  </si>
  <si>
    <t xml:space="preserve">Custo total de licenciamento e seguro </t>
  </si>
  <si>
    <t xml:space="preserve">Motoristas </t>
  </si>
  <si>
    <t>Motoristas - adicional noturno</t>
  </si>
  <si>
    <t xml:space="preserve">Motoristas - insalubridade 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</si>
  <si>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</si>
  <si>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</si>
  <si>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</si>
  <si>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</si>
  <si>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</si>
  <si>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</si>
  <si>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</si>
  <si>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</si>
  <si>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</si>
  <si>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</t>
  </si>
  <si>
    <t>2.3.1</t>
  </si>
  <si>
    <t>2.3.2</t>
  </si>
  <si>
    <t>2.3.3</t>
  </si>
  <si>
    <t>2.3.4</t>
  </si>
  <si>
    <t>2.3.5</t>
  </si>
  <si>
    <t xml:space="preserve">Coletores </t>
  </si>
  <si>
    <t xml:space="preserve">Coletores - adicional noturno </t>
  </si>
  <si>
    <t xml:space="preserve">Coletores - insalubridade </t>
  </si>
  <si>
    <t xml:space="preserve">Gerente/Encarregado/Supervisor </t>
  </si>
  <si>
    <t xml:space="preserve">Auxiliar administrativo </t>
  </si>
  <si>
    <t>Custo de Encargos Sociais</t>
  </si>
  <si>
    <t>Coletores</t>
  </si>
  <si>
    <t xml:space="preserve">Supervisor/Coordenador de Equipe </t>
  </si>
  <si>
    <t>Auxiliar Administrativo</t>
  </si>
  <si>
    <t>2.4.4</t>
  </si>
  <si>
    <t>2.4.5</t>
  </si>
  <si>
    <t>2.5</t>
  </si>
  <si>
    <t xml:space="preserve">Auxiliar Administrativo </t>
  </si>
  <si>
    <t xml:space="preserve">Calça (4 un./ano) </t>
  </si>
  <si>
    <t>Camiseta manga curta  (4 un./ano)</t>
  </si>
  <si>
    <t>2.5.3</t>
  </si>
  <si>
    <t>2.5.4</t>
  </si>
  <si>
    <t xml:space="preserve">Calçado de segurança (3 un./ano)                                                   </t>
  </si>
  <si>
    <t xml:space="preserve">Custo uniforme/EPI's por Motorista </t>
  </si>
  <si>
    <t xml:space="preserve">Custo dos uniformes/EPI's Motoristas </t>
  </si>
  <si>
    <t>2.5.2.6</t>
  </si>
  <si>
    <t>2.5.2.7</t>
  </si>
  <si>
    <t>2.5.2.8</t>
  </si>
  <si>
    <t>2.5.2.9</t>
  </si>
  <si>
    <t>2.5.2.10</t>
  </si>
  <si>
    <t xml:space="preserve">Fator para Despesas Administrativas </t>
  </si>
  <si>
    <t xml:space="preserve">Custo uniforme/EPI's por Coletor </t>
  </si>
  <si>
    <t xml:space="preserve">Luva reforçada para o recolhimento resíduo sólido urbano (24 un./ano) </t>
  </si>
  <si>
    <t xml:space="preserve">Calça (8 un./ano)                                                    </t>
  </si>
  <si>
    <t xml:space="preserve">Camiseta manga curta (8 un./ano)                         </t>
  </si>
  <si>
    <t xml:space="preserve">Camiseta manga longa  (3 un./ano)                            </t>
  </si>
  <si>
    <t xml:space="preserve">Boné (2 un./ano)                                    </t>
  </si>
  <si>
    <t xml:space="preserve">Calçado de segurança (6 un./ano)    </t>
  </si>
  <si>
    <t>Capa de Chuva PVC (2 un./ano)</t>
  </si>
  <si>
    <t xml:space="preserve">Custo dos uniformes/EPI's Coletores </t>
  </si>
  <si>
    <t>3.2</t>
  </si>
  <si>
    <t>3.3</t>
  </si>
  <si>
    <t>4.2.1</t>
  </si>
  <si>
    <t>5.1</t>
  </si>
  <si>
    <t>5.2</t>
  </si>
  <si>
    <t>5.4</t>
  </si>
  <si>
    <t>PREÇO MENSAL</t>
  </si>
  <si>
    <t xml:space="preserve">PREÇO POR TONELADA </t>
  </si>
  <si>
    <t>Previsão de Lucro (até 10%)</t>
  </si>
  <si>
    <t xml:space="preserve">TOTAL DE  LUCRO                      </t>
  </si>
  <si>
    <t xml:space="preserve">COFINS - (3% do preço mensal)                                     </t>
  </si>
  <si>
    <t xml:space="preserve">PIS - (0,65% do preço mensal)                                       </t>
  </si>
  <si>
    <t>Seguro Contra Terceiros - Caminhão</t>
  </si>
  <si>
    <t>Seguro Contra Terceiros - Veículo</t>
  </si>
  <si>
    <t>Média semanas</t>
  </si>
  <si>
    <t>1.12.3</t>
  </si>
  <si>
    <t>1.15.1.1</t>
  </si>
  <si>
    <t>1.14.1.1</t>
  </si>
  <si>
    <t>1.16.4</t>
  </si>
  <si>
    <t>1.16.5</t>
  </si>
  <si>
    <t xml:space="preserve">COMBUSTÍVEL </t>
  </si>
  <si>
    <t>D8</t>
  </si>
  <si>
    <t>D9</t>
  </si>
  <si>
    <t>Total quilometragem percorrida com veículo auxiliar</t>
  </si>
  <si>
    <t>QUILOMETRAGEM NA COLETA</t>
  </si>
  <si>
    <t>D10</t>
  </si>
  <si>
    <t>Custo total de combustível da frota</t>
  </si>
  <si>
    <t xml:space="preserve">Custo total de manutençao veículos </t>
  </si>
  <si>
    <t xml:space="preserve">Custo total de manutenção dos baús </t>
  </si>
  <si>
    <t>VEÍCULOS</t>
  </si>
  <si>
    <t>Custo total de aluguel do sistema de rastreamento</t>
  </si>
  <si>
    <t>1.7.4</t>
  </si>
  <si>
    <t>1.7.5</t>
  </si>
  <si>
    <t>1.7.6</t>
  </si>
  <si>
    <t>Custo total de depreciação dos veículos</t>
  </si>
  <si>
    <t xml:space="preserve">Custo total de depreciação dos baús </t>
  </si>
  <si>
    <t>1.8.1.1</t>
  </si>
  <si>
    <t xml:space="preserve">Custo total de remuneração da frota </t>
  </si>
  <si>
    <t>CAPITAL INVESTIDO EM BAÚS</t>
  </si>
  <si>
    <t>1.8.3.1</t>
  </si>
  <si>
    <t>1.9.3</t>
  </si>
  <si>
    <t>1.9.4</t>
  </si>
  <si>
    <t>1.9.5</t>
  </si>
  <si>
    <t>1.10.3</t>
  </si>
  <si>
    <t xml:space="preserve">Custo total de remuneração dos baús </t>
  </si>
  <si>
    <t xml:space="preserve">Custo Seguro Obrigatório (DPVAT)     </t>
  </si>
  <si>
    <t xml:space="preserve">Taxa de expedição de documento (CRLV) </t>
  </si>
  <si>
    <t>Custo do seguro contra terceiros</t>
  </si>
  <si>
    <t xml:space="preserve">Pneu                                         </t>
  </si>
  <si>
    <t xml:space="preserve">Motoristas - adicional noturno </t>
  </si>
  <si>
    <t>Motoristas</t>
  </si>
  <si>
    <t>Supervisor/Coordenador de equipes</t>
  </si>
  <si>
    <r>
      <t>Coletores</t>
    </r>
    <r>
      <rPr>
        <b/>
        <sz val="10"/>
        <color rgb="FF00B0F0"/>
        <rFont val="Arial"/>
        <family val="2"/>
      </rPr>
      <t/>
    </r>
  </si>
  <si>
    <t xml:space="preserve">Supervisor/Coordenador de equipes </t>
  </si>
  <si>
    <t>Calça (4 un./ano)</t>
  </si>
  <si>
    <t xml:space="preserve">Camiseta manga curta  (4 un./ano)                                  </t>
  </si>
  <si>
    <t xml:space="preserve">Calçado de segurança ( 3 un./ano)                                              </t>
  </si>
  <si>
    <t xml:space="preserve">Custo uniforme/EPI's por Motorista        </t>
  </si>
  <si>
    <t xml:space="preserve">Custo total uniformes/EPI's motoristas </t>
  </si>
  <si>
    <t xml:space="preserve">Calça (8 un./ano)                                 </t>
  </si>
  <si>
    <t xml:space="preserve">Camiseta manga curta (8 un./ano)                           </t>
  </si>
  <si>
    <t xml:space="preserve">Camiseta manga longa (3 un./ano) </t>
  </si>
  <si>
    <t xml:space="preserve">Boné (2 un./ano)                                     </t>
  </si>
  <si>
    <t xml:space="preserve">Calçado de segurança (6 un./ano) </t>
  </si>
  <si>
    <t xml:space="preserve">Capa de Chuva PVC (2 un./ano) </t>
  </si>
  <si>
    <t>Luva reforçada para o recolhimento resíduo sólido reciclável (24 un./ano)</t>
  </si>
  <si>
    <t xml:space="preserve">Custo uniformes/EPI's coletores </t>
  </si>
  <si>
    <t xml:space="preserve">Custo total dos uniformes/EPI's </t>
  </si>
  <si>
    <t>3.1.1</t>
  </si>
  <si>
    <t>Fator para Despesas Administrativas  (até 5%)</t>
  </si>
  <si>
    <t xml:space="preserve">TOTAL DESPESAS ADMINISTRATIVAS </t>
  </si>
  <si>
    <t xml:space="preserve">TOTAL DE  LUCRO                         </t>
  </si>
  <si>
    <t>4.1.1</t>
  </si>
  <si>
    <t xml:space="preserve">COFINS - (3% do Preço Mensal)                                     </t>
  </si>
  <si>
    <t xml:space="preserve">PIS - (0,65% do Preço Mensal)                                       </t>
  </si>
  <si>
    <t xml:space="preserve">PREÇO POR QUILÔMETRO            </t>
  </si>
  <si>
    <t xml:space="preserve">Recapagem pneu                         </t>
  </si>
  <si>
    <t xml:space="preserve">Pneu                         </t>
  </si>
  <si>
    <t xml:space="preserve">Custo IPVA </t>
  </si>
  <si>
    <t>COLETA DE RESÍDUOS SÓLIDOS RECICLÁVEIS</t>
  </si>
  <si>
    <t>Quilometragem Coleta Central (2X por semana)</t>
  </si>
  <si>
    <t>Salário base do Motorista Coleta</t>
  </si>
  <si>
    <t>Preço do diesel S10</t>
  </si>
  <si>
    <r>
      <t>Preço Capa de Chuva PVC</t>
    </r>
    <r>
      <rPr>
        <b/>
        <sz val="10"/>
        <rFont val="Arial"/>
        <family val="2"/>
      </rPr>
      <t xml:space="preserve">                        </t>
    </r>
  </si>
  <si>
    <r>
      <t>Motoristas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</t>
    </r>
  </si>
  <si>
    <r>
      <t>Coletores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</t>
    </r>
  </si>
  <si>
    <r>
      <t>TOTAL DESPESAS ADMINISTRATIVAS</t>
    </r>
    <r>
      <rPr>
        <sz val="10"/>
        <rFont val="Arial"/>
        <family val="2"/>
      </rPr>
      <t xml:space="preserve"> </t>
    </r>
  </si>
  <si>
    <r>
      <t>ISSQN - (2% do preço mensal)</t>
    </r>
    <r>
      <rPr>
        <b/>
        <sz val="10"/>
        <rFont val="Arial"/>
        <family val="2"/>
      </rPr>
      <t xml:space="preserve">                                        </t>
    </r>
  </si>
  <si>
    <t>Observações:</t>
  </si>
  <si>
    <t>1 - Os valores de veículos devem estar de acordo com o valor FIPE da frota a ser utilizada no município.</t>
  </si>
  <si>
    <t xml:space="preserve">2 - Caso uma mesma empresa venha a ser contrata para os serviços de coleta de orgânicos e de recicláveis, os custos que não existirem em ambos os serviços serão descontados. </t>
  </si>
  <si>
    <t>IPVA Caminhão (1%)</t>
  </si>
  <si>
    <t>2.1.10</t>
  </si>
  <si>
    <t>Supervisor/Coordenador de equipes - Insalubridade</t>
  </si>
  <si>
    <r>
      <t>Preço Capa de Chuva PVC</t>
    </r>
    <r>
      <rPr>
        <b/>
        <sz val="9"/>
        <rFont val="Arial"/>
        <family val="2"/>
      </rPr>
      <t xml:space="preserve">                        </t>
    </r>
  </si>
  <si>
    <r>
      <t>Motoristas</t>
    </r>
    <r>
      <rPr>
        <b/>
        <sz val="9"/>
        <rFont val="Arial"/>
        <family val="2"/>
      </rPr>
      <t xml:space="preserve"> </t>
    </r>
    <r>
      <rPr>
        <sz val="10"/>
        <color rgb="FF00B0F0"/>
        <rFont val="Arial"/>
        <family val="2"/>
      </rPr>
      <t/>
    </r>
  </si>
  <si>
    <r>
      <t>ISSQN - (2% do Preço Mensal)</t>
    </r>
    <r>
      <rPr>
        <b/>
        <sz val="9"/>
        <rFont val="Arial"/>
        <family val="2"/>
      </rPr>
      <t xml:space="preserve">                                        </t>
    </r>
  </si>
  <si>
    <r>
      <t>PREÇO MENSAL</t>
    </r>
    <r>
      <rPr>
        <sz val="9"/>
        <rFont val="Arial"/>
        <family val="2"/>
      </rPr>
      <t xml:space="preserve"> </t>
    </r>
  </si>
  <si>
    <t>3 - Utilizar cotações para Diesel S 10 e Arla apenas se a frota a ser utilizada tiver fabricação a partir de 2012, com tais exigências. Caso contrário, orçar apenas Diesel comum com base nos preços médios da ANP - Agência Nacional do Petróleo  para Ijuí, com valor médio orçado de R$ 2,60.</t>
  </si>
  <si>
    <t>Município:</t>
  </si>
  <si>
    <t>Data:</t>
  </si>
  <si>
    <t>Empresa:</t>
  </si>
  <si>
    <t>CNPJ:</t>
  </si>
  <si>
    <t>Carimbo:</t>
  </si>
  <si>
    <t>Nome do Representante Legal:</t>
  </si>
  <si>
    <t>Assinatura do Representante Legal:</t>
  </si>
  <si>
    <t>Nome / Logo da Empresa</t>
  </si>
  <si>
    <t xml:space="preserve"> Planilha de proposta orçamentária CRSD</t>
  </si>
  <si>
    <t>Planilha de proposta orçamentária CRSR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</si>
</sst>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[$R$ -416]* #,##0.00_);_([$R$ -416]* \(#,##0.00\);_([$R$ -416]* &quot;-&quot;??_);_(@_)"/>
    <numFmt numFmtId="167" formatCode="_(&quot;R$&quot;* #,##0.00_);_(&quot;R$&quot;* \(#,##0.00\);_(&quot;R$&quot;* &quot;-&quot;??_);_(@_)"/>
    <numFmt numFmtId="168" formatCode="_(* #,##0_);_(* \(#,##0\);_(* &quot;-&quot;??_);_(@_)"/>
    <numFmt numFmtId="169" formatCode="_([$R$ -416]* #,##0.000_);_([$R$ -416]* \(#,##0.000\);_([$R$ -416]* &quot;-&quot;??_);_(@_)"/>
    <numFmt numFmtId="170" formatCode="_(* #,##0.000_);_(* \(#,##0.000\);_(* &quot;-&quot;??_);_(@_)"/>
    <numFmt numFmtId="171" formatCode="0.000"/>
    <numFmt numFmtId="172" formatCode="_(&quot;R$&quot;* #,##0.000_);_(&quot;R$&quot;* \(#,##0.000\);_(&quot;R$&quot;* &quot;-&quot;??_);_(@_)"/>
    <numFmt numFmtId="173" formatCode="_(* #,##0.0_);_(* \(#,##0.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rgb="FF00B0F0"/>
      <name val="Arial"/>
      <family val="2"/>
    </font>
    <font>
      <b/>
      <sz val="10"/>
      <color rgb="FF00B0F0"/>
      <name val="Arial"/>
      <family val="2"/>
    </font>
    <font>
      <b/>
      <sz val="12"/>
      <color rgb="FF00B0F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rgb="FF00B0F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b/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00B0F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8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CC"/>
      </left>
      <right/>
      <top style="medium">
        <color rgb="FF0000CC"/>
      </top>
      <bottom/>
      <diagonal/>
    </border>
    <border>
      <left/>
      <right/>
      <top style="medium">
        <color rgb="FF0000CC"/>
      </top>
      <bottom/>
      <diagonal/>
    </border>
    <border>
      <left/>
      <right style="medium">
        <color rgb="FF0000CC"/>
      </right>
      <top style="medium">
        <color rgb="FF0000CC"/>
      </top>
      <bottom/>
      <diagonal/>
    </border>
    <border>
      <left style="medium">
        <color rgb="FF0000CC"/>
      </left>
      <right/>
      <top/>
      <bottom/>
      <diagonal/>
    </border>
    <border>
      <left/>
      <right style="medium">
        <color rgb="FF0000CC"/>
      </right>
      <top/>
      <bottom/>
      <diagonal/>
    </border>
    <border>
      <left style="medium">
        <color rgb="FF0000CC"/>
      </left>
      <right/>
      <top/>
      <bottom style="thin">
        <color indexed="64"/>
      </bottom>
      <diagonal/>
    </border>
    <border>
      <left/>
      <right style="medium">
        <color rgb="FF0000CC"/>
      </right>
      <top/>
      <bottom style="thin">
        <color indexed="64"/>
      </bottom>
      <diagonal/>
    </border>
    <border>
      <left style="medium">
        <color rgb="FF0000CC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CC"/>
      </right>
      <top style="thin">
        <color indexed="64"/>
      </top>
      <bottom style="thin">
        <color indexed="64"/>
      </bottom>
      <diagonal/>
    </border>
    <border>
      <left style="medium">
        <color rgb="FF0000CC"/>
      </left>
      <right/>
      <top style="thin">
        <color indexed="64"/>
      </top>
      <bottom/>
      <diagonal/>
    </border>
    <border>
      <left/>
      <right style="medium">
        <color rgb="FF0000CC"/>
      </right>
      <top style="thin">
        <color indexed="64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467">
    <xf numFmtId="0" fontId="0" fillId="0" borderId="0" xfId="0"/>
    <xf numFmtId="0" fontId="4" fillId="0" borderId="0" xfId="0" applyFont="1"/>
    <xf numFmtId="166" fontId="4" fillId="0" borderId="0" xfId="0" applyNumberFormat="1" applyFont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Fill="1" applyBorder="1"/>
    <xf numFmtId="165" fontId="4" fillId="0" borderId="0" xfId="0" applyNumberFormat="1" applyFont="1"/>
    <xf numFmtId="166" fontId="6" fillId="0" borderId="0" xfId="1" applyNumberFormat="1" applyFont="1" applyFill="1" applyBorder="1" applyAlignment="1">
      <alignment horizontal="left" vertical="center"/>
    </xf>
    <xf numFmtId="170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/>
    <xf numFmtId="164" fontId="4" fillId="0" borderId="0" xfId="2" applyFont="1"/>
    <xf numFmtId="1" fontId="4" fillId="0" borderId="0" xfId="0" applyNumberFormat="1" applyFont="1"/>
    <xf numFmtId="0" fontId="11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2" fontId="3" fillId="3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/>
    <xf numFmtId="0" fontId="11" fillId="0" borderId="2" xfId="0" applyFont="1" applyFill="1" applyBorder="1"/>
    <xf numFmtId="0" fontId="11" fillId="2" borderId="2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/>
    </xf>
    <xf numFmtId="0" fontId="11" fillId="4" borderId="3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vertical="top"/>
    </xf>
    <xf numFmtId="0" fontId="11" fillId="0" borderId="3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3" borderId="0" xfId="0" applyFont="1" applyFill="1" applyBorder="1"/>
    <xf numFmtId="0" fontId="11" fillId="0" borderId="0" xfId="0" applyFont="1" applyBorder="1"/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2" borderId="2" xfId="0" applyFont="1" applyFill="1" applyBorder="1" applyAlignment="1">
      <alignment horizontal="center"/>
    </xf>
    <xf numFmtId="0" fontId="11" fillId="0" borderId="3" xfId="0" applyFont="1" applyFill="1" applyBorder="1"/>
    <xf numFmtId="0" fontId="3" fillId="0" borderId="3" xfId="0" applyFont="1" applyFill="1" applyBorder="1"/>
    <xf numFmtId="0" fontId="11" fillId="0" borderId="0" xfId="0" applyFont="1" applyFill="1" applyBorder="1"/>
    <xf numFmtId="0" fontId="11" fillId="0" borderId="2" xfId="0" applyFont="1" applyBorder="1"/>
    <xf numFmtId="0" fontId="11" fillId="2" borderId="2" xfId="0" applyFont="1" applyFill="1" applyBorder="1"/>
    <xf numFmtId="0" fontId="3" fillId="0" borderId="0" xfId="0" applyFont="1" applyBorder="1" applyAlignment="1">
      <alignment vertical="center"/>
    </xf>
    <xf numFmtId="10" fontId="3" fillId="3" borderId="0" xfId="3" applyNumberFormat="1" applyFont="1" applyFill="1" applyBorder="1" applyAlignment="1" applyProtection="1">
      <alignment horizontal="right" vertical="center"/>
    </xf>
    <xf numFmtId="0" fontId="16" fillId="0" borderId="0" xfId="0" applyFont="1" applyBorder="1"/>
    <xf numFmtId="0" fontId="16" fillId="0" borderId="0" xfId="0" applyFont="1" applyBorder="1" applyAlignment="1">
      <alignment vertical="center"/>
    </xf>
    <xf numFmtId="2" fontId="4" fillId="0" borderId="0" xfId="0" applyNumberFormat="1" applyFont="1"/>
    <xf numFmtId="0" fontId="3" fillId="4" borderId="2" xfId="0" applyFont="1" applyFill="1" applyBorder="1"/>
    <xf numFmtId="0" fontId="3" fillId="4" borderId="3" xfId="0" applyFont="1" applyFill="1" applyBorder="1"/>
    <xf numFmtId="0" fontId="3" fillId="0" borderId="3" xfId="0" applyFont="1" applyBorder="1"/>
    <xf numFmtId="0" fontId="3" fillId="0" borderId="0" xfId="0" applyFont="1" applyBorder="1" applyAlignment="1">
      <alignment vertical="center" wrapText="1"/>
    </xf>
    <xf numFmtId="0" fontId="4" fillId="3" borderId="0" xfId="0" applyFont="1" applyFill="1"/>
    <xf numFmtId="0" fontId="10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 applyProtection="1">
      <alignment horizontal="right" vertical="center"/>
    </xf>
    <xf numFmtId="2" fontId="3" fillId="3" borderId="0" xfId="0" applyNumberFormat="1" applyFont="1" applyFill="1" applyBorder="1" applyAlignment="1" applyProtection="1">
      <alignment horizontal="right" vertical="center"/>
    </xf>
    <xf numFmtId="166" fontId="3" fillId="3" borderId="0" xfId="0" applyNumberFormat="1" applyFont="1" applyFill="1" applyBorder="1" applyAlignment="1" applyProtection="1">
      <alignment horizontal="right" vertical="center"/>
      <protection locked="0"/>
    </xf>
    <xf numFmtId="166" fontId="3" fillId="3" borderId="0" xfId="1" applyNumberFormat="1" applyFont="1" applyFill="1" applyBorder="1" applyAlignment="1" applyProtection="1">
      <alignment horizontal="right" vertical="center"/>
      <protection locked="0"/>
    </xf>
    <xf numFmtId="166" fontId="3" fillId="3" borderId="0" xfId="1" applyNumberFormat="1" applyFont="1" applyFill="1" applyBorder="1" applyAlignment="1" applyProtection="1">
      <alignment horizontal="right" vertical="center"/>
    </xf>
    <xf numFmtId="167" fontId="3" fillId="3" borderId="0" xfId="2" applyNumberFormat="1" applyFont="1" applyFill="1" applyBorder="1" applyAlignment="1" applyProtection="1">
      <alignment horizontal="right" vertical="center"/>
      <protection locked="0"/>
    </xf>
    <xf numFmtId="164" fontId="3" fillId="3" borderId="0" xfId="4" applyNumberFormat="1" applyFont="1" applyFill="1" applyBorder="1" applyAlignment="1" applyProtection="1">
      <alignment horizontal="right" vertical="center"/>
    </xf>
    <xf numFmtId="165" fontId="3" fillId="3" borderId="0" xfId="1" applyFont="1" applyFill="1" applyBorder="1" applyAlignment="1" applyProtection="1">
      <alignment horizontal="right"/>
      <protection locked="0"/>
    </xf>
    <xf numFmtId="167" fontId="11" fillId="3" borderId="0" xfId="2" applyNumberFormat="1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9" fillId="3" borderId="0" xfId="0" applyFont="1" applyFill="1"/>
    <xf numFmtId="1" fontId="3" fillId="3" borderId="0" xfId="1" applyNumberFormat="1" applyFont="1" applyFill="1" applyBorder="1" applyAlignment="1">
      <alignment horizontal="right" vertical="center"/>
    </xf>
    <xf numFmtId="1" fontId="11" fillId="3" borderId="0" xfId="1" applyNumberFormat="1" applyFont="1" applyFill="1" applyBorder="1" applyAlignment="1">
      <alignment horizontal="right" vertical="center"/>
    </xf>
    <xf numFmtId="165" fontId="3" fillId="3" borderId="0" xfId="1" applyFont="1" applyFill="1" applyBorder="1" applyAlignment="1">
      <alignment horizontal="right" vertical="center"/>
    </xf>
    <xf numFmtId="165" fontId="11" fillId="3" borderId="0" xfId="1" applyFont="1" applyFill="1" applyBorder="1" applyAlignment="1">
      <alignment horizontal="right" vertical="center"/>
    </xf>
    <xf numFmtId="165" fontId="3" fillId="3" borderId="0" xfId="1" applyNumberFormat="1" applyFont="1" applyFill="1" applyBorder="1" applyAlignment="1" applyProtection="1">
      <alignment horizontal="right" vertical="center"/>
      <protection locked="0"/>
    </xf>
    <xf numFmtId="166" fontId="11" fillId="3" borderId="0" xfId="1" applyNumberFormat="1" applyFont="1" applyFill="1" applyBorder="1" applyAlignment="1">
      <alignment horizontal="left" vertical="center"/>
    </xf>
    <xf numFmtId="164" fontId="3" fillId="3" borderId="0" xfId="3" applyNumberFormat="1" applyFont="1" applyFill="1" applyBorder="1" applyAlignment="1" applyProtection="1">
      <alignment horizontal="right" vertical="center"/>
      <protection locked="0"/>
    </xf>
    <xf numFmtId="166" fontId="11" fillId="3" borderId="0" xfId="1" applyNumberFormat="1" applyFont="1" applyFill="1" applyBorder="1" applyAlignment="1">
      <alignment horizontal="right" vertical="center"/>
    </xf>
    <xf numFmtId="166" fontId="3" fillId="3" borderId="0" xfId="1" applyNumberFormat="1" applyFont="1" applyFill="1" applyBorder="1" applyAlignment="1">
      <alignment horizontal="right" vertical="center"/>
    </xf>
    <xf numFmtId="10" fontId="3" fillId="3" borderId="0" xfId="3" applyNumberFormat="1" applyFont="1" applyFill="1" applyBorder="1" applyAlignment="1" applyProtection="1">
      <alignment horizontal="right" vertical="center"/>
      <protection locked="0"/>
    </xf>
    <xf numFmtId="10" fontId="3" fillId="3" borderId="0" xfId="1" applyNumberFormat="1" applyFont="1" applyFill="1" applyBorder="1" applyAlignment="1" applyProtection="1">
      <alignment horizontal="right" vertical="center"/>
      <protection locked="0"/>
    </xf>
    <xf numFmtId="166" fontId="3" fillId="3" borderId="0" xfId="0" applyNumberFormat="1" applyFont="1" applyFill="1" applyBorder="1" applyAlignment="1">
      <alignment horizontal="right"/>
    </xf>
    <xf numFmtId="165" fontId="11" fillId="3" borderId="0" xfId="4" applyFont="1" applyFill="1" applyBorder="1" applyAlignment="1">
      <alignment horizontal="right" vertical="center"/>
    </xf>
    <xf numFmtId="10" fontId="11" fillId="3" borderId="0" xfId="3" applyNumberFormat="1" applyFont="1" applyFill="1" applyBorder="1" applyAlignment="1">
      <alignment horizontal="right" vertical="center"/>
    </xf>
    <xf numFmtId="167" fontId="3" fillId="3" borderId="0" xfId="2" applyNumberFormat="1" applyFont="1" applyFill="1" applyBorder="1" applyAlignment="1">
      <alignment horizontal="right" vertical="center"/>
    </xf>
    <xf numFmtId="167" fontId="11" fillId="3" borderId="0" xfId="3" applyNumberFormat="1" applyFont="1" applyFill="1" applyBorder="1" applyAlignment="1">
      <alignment horizontal="right" vertical="center"/>
    </xf>
    <xf numFmtId="166" fontId="11" fillId="3" borderId="0" xfId="1" quotePrefix="1" applyNumberFormat="1" applyFont="1" applyFill="1" applyBorder="1" applyAlignment="1">
      <alignment horizontal="right" vertical="center"/>
    </xf>
    <xf numFmtId="170" fontId="3" fillId="3" borderId="0" xfId="1" applyNumberFormat="1" applyFont="1" applyFill="1" applyBorder="1" applyAlignment="1" applyProtection="1">
      <alignment horizontal="right" vertical="center"/>
      <protection locked="0"/>
    </xf>
    <xf numFmtId="164" fontId="11" fillId="3" borderId="0" xfId="3" applyNumberFormat="1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center"/>
    </xf>
    <xf numFmtId="166" fontId="3" fillId="3" borderId="0" xfId="0" applyNumberFormat="1" applyFont="1" applyFill="1" applyBorder="1" applyAlignment="1">
      <alignment horizontal="right" vertical="center"/>
    </xf>
    <xf numFmtId="166" fontId="11" fillId="3" borderId="0" xfId="0" applyNumberFormat="1" applyFont="1" applyFill="1" applyBorder="1" applyAlignment="1">
      <alignment horizontal="right" vertical="center"/>
    </xf>
    <xf numFmtId="169" fontId="3" fillId="3" borderId="0" xfId="0" applyNumberFormat="1" applyFont="1" applyFill="1" applyBorder="1" applyAlignment="1">
      <alignment horizontal="right" vertical="center"/>
    </xf>
    <xf numFmtId="166" fontId="11" fillId="3" borderId="0" xfId="0" applyNumberFormat="1" applyFont="1" applyFill="1" applyBorder="1"/>
    <xf numFmtId="9" fontId="3" fillId="3" borderId="0" xfId="3" applyFont="1" applyFill="1" applyBorder="1" applyAlignment="1" applyProtection="1">
      <alignment horizontal="right" vertical="center"/>
      <protection locked="0"/>
    </xf>
    <xf numFmtId="10" fontId="3" fillId="3" borderId="0" xfId="2" applyNumberFormat="1" applyFont="1" applyFill="1" applyBorder="1" applyAlignment="1" applyProtection="1">
      <alignment horizontal="right" vertical="center"/>
      <protection locked="0"/>
    </xf>
    <xf numFmtId="167" fontId="11" fillId="3" borderId="0" xfId="2" applyNumberFormat="1" applyFont="1" applyFill="1" applyBorder="1" applyAlignment="1">
      <alignment horizontal="center"/>
    </xf>
    <xf numFmtId="10" fontId="6" fillId="3" borderId="0" xfId="0" applyNumberFormat="1" applyFont="1" applyFill="1" applyBorder="1" applyAlignment="1">
      <alignment horizontal="right" vertical="center"/>
    </xf>
    <xf numFmtId="10" fontId="13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justify" vertical="justify"/>
    </xf>
    <xf numFmtId="0" fontId="14" fillId="3" borderId="0" xfId="0" applyFont="1" applyFill="1" applyAlignment="1">
      <alignment horizontal="justify" vertical="justify" wrapText="1"/>
    </xf>
    <xf numFmtId="0" fontId="14" fillId="3" borderId="0" xfId="0" applyFont="1" applyFill="1" applyAlignment="1">
      <alignment horizontal="left" wrapText="1"/>
    </xf>
    <xf numFmtId="0" fontId="11" fillId="2" borderId="11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/>
    </xf>
    <xf numFmtId="2" fontId="3" fillId="3" borderId="8" xfId="0" applyNumberFormat="1" applyFont="1" applyFill="1" applyBorder="1" applyAlignment="1">
      <alignment horizontal="right" vertical="center"/>
    </xf>
    <xf numFmtId="166" fontId="3" fillId="0" borderId="8" xfId="0" applyNumberFormat="1" applyFont="1" applyFill="1" applyBorder="1" applyAlignment="1" applyProtection="1">
      <alignment horizontal="right" vertical="center"/>
      <protection locked="0"/>
    </xf>
    <xf numFmtId="166" fontId="3" fillId="0" borderId="8" xfId="0" applyNumberFormat="1" applyFont="1" applyBorder="1" applyAlignment="1" applyProtection="1">
      <alignment horizontal="right" vertical="center"/>
      <protection locked="0"/>
    </xf>
    <xf numFmtId="166" fontId="3" fillId="0" borderId="8" xfId="1" applyNumberFormat="1" applyFont="1" applyFill="1" applyBorder="1" applyAlignment="1" applyProtection="1">
      <alignment horizontal="right" vertical="center"/>
      <protection locked="0"/>
    </xf>
    <xf numFmtId="0" fontId="3" fillId="0" borderId="11" xfId="0" applyFont="1" applyFill="1" applyBorder="1"/>
    <xf numFmtId="167" fontId="11" fillId="0" borderId="12" xfId="2" applyNumberFormat="1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left"/>
    </xf>
    <xf numFmtId="0" fontId="11" fillId="0" borderId="13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1" fontId="3" fillId="0" borderId="8" xfId="1" applyNumberFormat="1" applyFont="1" applyBorder="1" applyAlignment="1">
      <alignment horizontal="right" vertical="center"/>
    </xf>
    <xf numFmtId="0" fontId="11" fillId="0" borderId="9" xfId="0" applyFont="1" applyBorder="1" applyAlignment="1">
      <alignment horizontal="left"/>
    </xf>
    <xf numFmtId="0" fontId="11" fillId="2" borderId="11" xfId="0" applyFont="1" applyFill="1" applyBorder="1" applyAlignment="1">
      <alignment horizontal="left"/>
    </xf>
    <xf numFmtId="0" fontId="11" fillId="3" borderId="7" xfId="0" applyFont="1" applyFill="1" applyBorder="1" applyAlignment="1">
      <alignment horizontal="left"/>
    </xf>
    <xf numFmtId="0" fontId="11" fillId="0" borderId="13" xfId="0" applyFont="1" applyBorder="1" applyAlignment="1">
      <alignment horizontal="left"/>
    </xf>
    <xf numFmtId="165" fontId="3" fillId="0" borderId="8" xfId="1" applyNumberFormat="1" applyFont="1" applyFill="1" applyBorder="1" applyAlignment="1" applyProtection="1">
      <alignment horizontal="right" vertical="center"/>
      <protection locked="0"/>
    </xf>
    <xf numFmtId="0" fontId="11" fillId="0" borderId="9" xfId="0" applyFont="1" applyFill="1" applyBorder="1" applyAlignment="1">
      <alignment horizontal="left" vertical="top"/>
    </xf>
    <xf numFmtId="0" fontId="3" fillId="0" borderId="7" xfId="0" applyFont="1" applyBorder="1"/>
    <xf numFmtId="0" fontId="11" fillId="0" borderId="8" xfId="0" applyFont="1" applyFill="1" applyBorder="1" applyAlignment="1">
      <alignment horizontal="center" vertical="center" wrapText="1"/>
    </xf>
    <xf numFmtId="170" fontId="3" fillId="0" borderId="8" xfId="1" applyNumberFormat="1" applyFont="1" applyFill="1" applyBorder="1" applyAlignment="1" applyProtection="1">
      <alignment horizontal="right" vertical="center"/>
      <protection locked="0"/>
    </xf>
    <xf numFmtId="10" fontId="3" fillId="0" borderId="8" xfId="3" applyNumberFormat="1" applyFont="1" applyFill="1" applyBorder="1" applyAlignment="1" applyProtection="1">
      <alignment horizontal="right" vertical="center"/>
      <protection locked="0"/>
    </xf>
    <xf numFmtId="10" fontId="3" fillId="0" borderId="8" xfId="1" applyNumberFormat="1" applyFont="1" applyFill="1" applyBorder="1" applyAlignment="1" applyProtection="1">
      <alignment horizontal="right" vertical="center"/>
      <protection locked="0"/>
    </xf>
    <xf numFmtId="0" fontId="11" fillId="0" borderId="7" xfId="0" applyFont="1" applyBorder="1"/>
    <xf numFmtId="0" fontId="11" fillId="2" borderId="12" xfId="0" applyFont="1" applyFill="1" applyBorder="1" applyAlignment="1">
      <alignment horizontal="center" vertical="center" wrapText="1"/>
    </xf>
    <xf numFmtId="0" fontId="3" fillId="0" borderId="7" xfId="0" applyFont="1" applyFill="1" applyBorder="1"/>
    <xf numFmtId="0" fontId="11" fillId="0" borderId="7" xfId="0" applyFont="1" applyFill="1" applyBorder="1"/>
    <xf numFmtId="0" fontId="11" fillId="0" borderId="11" xfId="0" applyFont="1" applyBorder="1"/>
    <xf numFmtId="0" fontId="11" fillId="0" borderId="11" xfId="0" applyFont="1" applyFill="1" applyBorder="1"/>
    <xf numFmtId="0" fontId="11" fillId="2" borderId="14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12" fillId="0" borderId="7" xfId="0" applyFont="1" applyBorder="1"/>
    <xf numFmtId="10" fontId="12" fillId="0" borderId="8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8" fillId="0" borderId="0" xfId="0" applyFont="1"/>
    <xf numFmtId="0" fontId="12" fillId="2" borderId="11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2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Border="1"/>
    <xf numFmtId="0" fontId="16" fillId="0" borderId="13" xfId="0" applyFont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168" fontId="18" fillId="0" borderId="0" xfId="0" applyNumberFormat="1" applyFont="1"/>
    <xf numFmtId="0" fontId="16" fillId="0" borderId="7" xfId="0" applyFont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73" fontId="18" fillId="0" borderId="0" xfId="0" applyNumberFormat="1" applyFont="1"/>
    <xf numFmtId="166" fontId="16" fillId="0" borderId="8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Border="1" applyAlignment="1">
      <alignment horizontal="left"/>
    </xf>
    <xf numFmtId="166" fontId="16" fillId="0" borderId="8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Fill="1" applyBorder="1" applyAlignment="1">
      <alignment horizontal="left"/>
    </xf>
    <xf numFmtId="166" fontId="19" fillId="0" borderId="0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Fill="1" applyBorder="1" applyAlignment="1">
      <alignment vertical="center"/>
    </xf>
    <xf numFmtId="166" fontId="16" fillId="0" borderId="8" xfId="1" applyNumberFormat="1" applyFont="1" applyFill="1" applyBorder="1" applyAlignment="1" applyProtection="1">
      <alignment horizontal="right" vertical="center"/>
      <protection locked="0"/>
    </xf>
    <xf numFmtId="0" fontId="16" fillId="0" borderId="1" xfId="0" applyFont="1" applyBorder="1"/>
    <xf numFmtId="0" fontId="16" fillId="0" borderId="11" xfId="0" applyFont="1" applyFill="1" applyBorder="1"/>
    <xf numFmtId="0" fontId="12" fillId="0" borderId="2" xfId="0" applyFont="1" applyFill="1" applyBorder="1"/>
    <xf numFmtId="167" fontId="12" fillId="0" borderId="12" xfId="2" applyNumberFormat="1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20" fillId="4" borderId="0" xfId="0" applyFont="1" applyFill="1" applyBorder="1"/>
    <xf numFmtId="0" fontId="12" fillId="2" borderId="14" xfId="0" applyFont="1" applyFill="1" applyBorder="1" applyAlignment="1">
      <alignment horizontal="right"/>
    </xf>
    <xf numFmtId="0" fontId="12" fillId="0" borderId="13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20" fillId="0" borderId="3" xfId="0" applyFont="1" applyFill="1" applyBorder="1"/>
    <xf numFmtId="0" fontId="12" fillId="0" borderId="14" xfId="0" applyFont="1" applyFill="1" applyBorder="1" applyAlignment="1">
      <alignment horizontal="right"/>
    </xf>
    <xf numFmtId="0" fontId="12" fillId="0" borderId="7" xfId="0" applyFont="1" applyFill="1" applyBorder="1" applyAlignment="1">
      <alignment horizontal="left"/>
    </xf>
    <xf numFmtId="0" fontId="12" fillId="0" borderId="0" xfId="0" applyFont="1" applyFill="1" applyBorder="1" applyAlignment="1">
      <alignment vertical="center"/>
    </xf>
    <xf numFmtId="0" fontId="21" fillId="0" borderId="0" xfId="0" applyFont="1" applyBorder="1"/>
    <xf numFmtId="0" fontId="12" fillId="0" borderId="0" xfId="0" applyFont="1" applyFill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9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6" fillId="0" borderId="9" xfId="0" applyFont="1" applyFill="1" applyBorder="1"/>
    <xf numFmtId="0" fontId="12" fillId="4" borderId="13" xfId="0" applyFont="1" applyFill="1" applyBorder="1" applyAlignment="1">
      <alignment horizontal="left"/>
    </xf>
    <xf numFmtId="0" fontId="12" fillId="4" borderId="2" xfId="0" applyFont="1" applyFill="1" applyBorder="1" applyAlignment="1">
      <alignment horizontal="left"/>
    </xf>
    <xf numFmtId="0" fontId="12" fillId="4" borderId="12" xfId="0" applyFont="1" applyFill="1" applyBorder="1" applyAlignment="1">
      <alignment horizontal="right" vertical="center"/>
    </xf>
    <xf numFmtId="0" fontId="16" fillId="0" borderId="3" xfId="0" applyFont="1" applyBorder="1" applyAlignment="1">
      <alignment horizontal="left"/>
    </xf>
    <xf numFmtId="0" fontId="16" fillId="0" borderId="7" xfId="0" applyFont="1" applyFill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0" borderId="2" xfId="0" applyFont="1" applyFill="1" applyBorder="1" applyAlignment="1">
      <alignment horizontal="left"/>
    </xf>
    <xf numFmtId="0" fontId="12" fillId="0" borderId="2" xfId="0" applyFont="1" applyBorder="1" applyAlignment="1">
      <alignment horizontal="left"/>
    </xf>
    <xf numFmtId="168" fontId="12" fillId="0" borderId="12" xfId="0" applyNumberFormat="1" applyFont="1" applyFill="1" applyBorder="1" applyAlignment="1" applyProtection="1">
      <alignment horizontal="right" vertical="center"/>
      <protection locked="0"/>
    </xf>
    <xf numFmtId="0" fontId="12" fillId="2" borderId="1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20" fillId="4" borderId="2" xfId="0" applyFont="1" applyFill="1" applyBorder="1"/>
    <xf numFmtId="0" fontId="12" fillId="2" borderId="12" xfId="0" applyFont="1" applyFill="1" applyBorder="1" applyAlignment="1">
      <alignment horizontal="right"/>
    </xf>
    <xf numFmtId="0" fontId="16" fillId="3" borderId="7" xfId="0" applyFont="1" applyFill="1" applyBorder="1" applyAlignment="1">
      <alignment horizontal="left"/>
    </xf>
    <xf numFmtId="0" fontId="12" fillId="3" borderId="0" xfId="0" applyFont="1" applyFill="1" applyBorder="1" applyAlignment="1">
      <alignment horizontal="left"/>
    </xf>
    <xf numFmtId="0" fontId="20" fillId="3" borderId="0" xfId="0" applyFont="1" applyFill="1" applyBorder="1"/>
    <xf numFmtId="0" fontId="12" fillId="3" borderId="8" xfId="0" applyFont="1" applyFill="1" applyBorder="1" applyAlignment="1">
      <alignment horizontal="right"/>
    </xf>
    <xf numFmtId="0" fontId="16" fillId="3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left"/>
    </xf>
    <xf numFmtId="165" fontId="16" fillId="0" borderId="8" xfId="1" applyFont="1" applyFill="1" applyBorder="1" applyAlignment="1">
      <alignment horizontal="right" vertical="center"/>
    </xf>
    <xf numFmtId="0" fontId="12" fillId="3" borderId="7" xfId="0" applyFont="1" applyFill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2" xfId="0" applyFont="1" applyFill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6" fillId="0" borderId="2" xfId="0" applyFont="1" applyBorder="1"/>
    <xf numFmtId="165" fontId="12" fillId="0" borderId="12" xfId="1" applyFont="1" applyFill="1" applyBorder="1" applyAlignment="1">
      <alignment horizontal="right" vertical="center"/>
    </xf>
    <xf numFmtId="0" fontId="12" fillId="2" borderId="7" xfId="0" applyFont="1" applyFill="1" applyBorder="1" applyAlignment="1">
      <alignment horizontal="left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20" fillId="0" borderId="0" xfId="0" applyFont="1" applyBorder="1"/>
    <xf numFmtId="0" fontId="12" fillId="0" borderId="0" xfId="0" applyFont="1" applyBorder="1" applyAlignment="1">
      <alignment vertical="center"/>
    </xf>
    <xf numFmtId="165" fontId="12" fillId="0" borderId="8" xfId="4" applyFont="1" applyBorder="1" applyAlignment="1">
      <alignment horizontal="right" vertical="center"/>
    </xf>
    <xf numFmtId="0" fontId="12" fillId="0" borderId="1" xfId="0" applyFont="1" applyFill="1" applyBorder="1" applyAlignment="1">
      <alignment vertical="center"/>
    </xf>
    <xf numFmtId="0" fontId="12" fillId="0" borderId="1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165" fontId="16" fillId="0" borderId="14" xfId="1" applyFont="1" applyFill="1" applyBorder="1" applyAlignment="1">
      <alignment horizontal="right" vertical="center"/>
    </xf>
    <xf numFmtId="0" fontId="20" fillId="0" borderId="3" xfId="0" applyFont="1" applyBorder="1"/>
    <xf numFmtId="165" fontId="12" fillId="0" borderId="14" xfId="4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left" vertical="top"/>
    </xf>
    <xf numFmtId="0" fontId="12" fillId="0" borderId="3" xfId="0" applyFont="1" applyBorder="1" applyAlignment="1">
      <alignment vertical="center"/>
    </xf>
    <xf numFmtId="165" fontId="12" fillId="0" borderId="14" xfId="4" applyFont="1" applyBorder="1" applyAlignment="1">
      <alignment horizontal="right" vertical="center"/>
    </xf>
    <xf numFmtId="166" fontId="12" fillId="0" borderId="14" xfId="4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left"/>
    </xf>
    <xf numFmtId="165" fontId="16" fillId="0" borderId="8" xfId="4" applyFont="1" applyBorder="1" applyAlignment="1">
      <alignment horizontal="right" vertical="center"/>
    </xf>
    <xf numFmtId="165" fontId="12" fillId="0" borderId="8" xfId="4" applyFont="1" applyFill="1" applyBorder="1" applyAlignment="1">
      <alignment horizontal="right" vertical="center"/>
    </xf>
    <xf numFmtId="10" fontId="12" fillId="0" borderId="14" xfId="3" applyNumberFormat="1" applyFont="1" applyFill="1" applyBorder="1" applyAlignment="1">
      <alignment horizontal="right" vertical="center"/>
    </xf>
    <xf numFmtId="0" fontId="16" fillId="0" borderId="7" xfId="0" applyFont="1" applyBorder="1"/>
    <xf numFmtId="0" fontId="16" fillId="0" borderId="0" xfId="0" applyFont="1" applyFill="1" applyBorder="1"/>
    <xf numFmtId="0" fontId="16" fillId="3" borderId="0" xfId="0" applyFont="1" applyFill="1" applyBorder="1"/>
    <xf numFmtId="0" fontId="12" fillId="0" borderId="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170" fontId="16" fillId="0" borderId="8" xfId="1" applyNumberFormat="1" applyFont="1" applyFill="1" applyBorder="1" applyAlignment="1" applyProtection="1">
      <alignment horizontal="right" vertical="center"/>
      <protection locked="0"/>
    </xf>
    <xf numFmtId="0" fontId="12" fillId="0" borderId="1" xfId="0" applyFont="1" applyFill="1" applyBorder="1" applyAlignment="1">
      <alignment horizontal="left" vertical="top"/>
    </xf>
    <xf numFmtId="10" fontId="16" fillId="0" borderId="8" xfId="3" applyNumberFormat="1" applyFont="1" applyFill="1" applyBorder="1" applyAlignment="1" applyProtection="1">
      <alignment horizontal="right" vertical="center"/>
      <protection locked="0"/>
    </xf>
    <xf numFmtId="165" fontId="16" fillId="0" borderId="8" xfId="1" applyFont="1" applyBorder="1" applyAlignment="1">
      <alignment horizontal="right" vertical="center"/>
    </xf>
    <xf numFmtId="10" fontId="16" fillId="0" borderId="8" xfId="1" applyNumberFormat="1" applyFont="1" applyFill="1" applyBorder="1" applyAlignment="1" applyProtection="1">
      <alignment horizontal="right" vertical="center"/>
      <protection locked="0"/>
    </xf>
    <xf numFmtId="0" fontId="16" fillId="0" borderId="3" xfId="0" applyFont="1" applyBorder="1"/>
    <xf numFmtId="0" fontId="16" fillId="0" borderId="11" xfId="0" applyFont="1" applyBorder="1"/>
    <xf numFmtId="0" fontId="12" fillId="0" borderId="2" xfId="0" applyFont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2" fillId="2" borderId="12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20" fillId="0" borderId="7" xfId="0" applyFont="1" applyBorder="1"/>
    <xf numFmtId="0" fontId="12" fillId="0" borderId="1" xfId="0" applyFont="1" applyFill="1" applyBorder="1"/>
    <xf numFmtId="0" fontId="16" fillId="0" borderId="3" xfId="0" applyFont="1" applyFill="1" applyBorder="1" applyAlignment="1">
      <alignment vertical="center"/>
    </xf>
    <xf numFmtId="167" fontId="12" fillId="0" borderId="14" xfId="2" applyNumberFormat="1" applyFont="1" applyFill="1" applyBorder="1" applyAlignment="1">
      <alignment horizontal="right" vertical="center"/>
    </xf>
    <xf numFmtId="0" fontId="16" fillId="0" borderId="7" xfId="0" applyFont="1" applyFill="1" applyBorder="1"/>
    <xf numFmtId="0" fontId="12" fillId="0" borderId="7" xfId="0" applyFont="1" applyFill="1" applyBorder="1"/>
    <xf numFmtId="0" fontId="12" fillId="0" borderId="13" xfId="0" applyFont="1" applyBorder="1"/>
    <xf numFmtId="0" fontId="16" fillId="0" borderId="3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5" fontId="18" fillId="0" borderId="0" xfId="0" applyNumberFormat="1" applyFont="1"/>
    <xf numFmtId="0" fontId="12" fillId="0" borderId="0" xfId="0" applyFont="1" applyBorder="1"/>
    <xf numFmtId="0" fontId="12" fillId="0" borderId="11" xfId="0" applyFont="1" applyBorder="1"/>
    <xf numFmtId="0" fontId="12" fillId="0" borderId="2" xfId="0" applyFont="1" applyBorder="1"/>
    <xf numFmtId="0" fontId="12" fillId="0" borderId="9" xfId="0" applyFont="1" applyBorder="1"/>
    <xf numFmtId="0" fontId="12" fillId="0" borderId="1" xfId="0" applyFont="1" applyBorder="1"/>
    <xf numFmtId="166" fontId="12" fillId="0" borderId="10" xfId="0" applyNumberFormat="1" applyFont="1" applyBorder="1"/>
    <xf numFmtId="0" fontId="12" fillId="0" borderId="11" xfId="0" applyFont="1" applyFill="1" applyBorder="1"/>
    <xf numFmtId="0" fontId="16" fillId="0" borderId="2" xfId="0" applyFont="1" applyFill="1" applyBorder="1"/>
    <xf numFmtId="0" fontId="12" fillId="0" borderId="9" xfId="0" applyFont="1" applyBorder="1" applyAlignment="1"/>
    <xf numFmtId="0" fontId="12" fillId="0" borderId="1" xfId="0" applyFont="1" applyBorder="1" applyAlignment="1"/>
    <xf numFmtId="0" fontId="12" fillId="0" borderId="10" xfId="0" applyFont="1" applyBorder="1" applyAlignment="1"/>
    <xf numFmtId="0" fontId="12" fillId="2" borderId="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 wrapText="1"/>
    </xf>
    <xf numFmtId="0" fontId="12" fillId="0" borderId="3" xfId="0" applyFont="1" applyFill="1" applyBorder="1"/>
    <xf numFmtId="0" fontId="16" fillId="0" borderId="1" xfId="0" applyFont="1" applyFill="1" applyBorder="1"/>
    <xf numFmtId="10" fontId="16" fillId="0" borderId="10" xfId="2" applyNumberFormat="1" applyFont="1" applyFill="1" applyBorder="1" applyAlignment="1" applyProtection="1">
      <alignment horizontal="right" vertical="center"/>
      <protection locked="0"/>
    </xf>
    <xf numFmtId="0" fontId="12" fillId="0" borderId="9" xfId="0" applyFont="1" applyFill="1" applyBorder="1"/>
    <xf numFmtId="0" fontId="16" fillId="0" borderId="2" xfId="0" applyFont="1" applyBorder="1" applyAlignment="1">
      <alignment vertical="center"/>
    </xf>
    <xf numFmtId="0" fontId="12" fillId="0" borderId="12" xfId="0" applyFont="1" applyBorder="1" applyAlignment="1">
      <alignment horizontal="right" vertical="center"/>
    </xf>
    <xf numFmtId="0" fontId="12" fillId="2" borderId="3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left" vertical="center"/>
    </xf>
    <xf numFmtId="39" fontId="18" fillId="0" borderId="0" xfId="0" applyNumberFormat="1" applyFont="1"/>
    <xf numFmtId="2" fontId="18" fillId="0" borderId="0" xfId="0" applyNumberFormat="1" applyFont="1"/>
    <xf numFmtId="0" fontId="12" fillId="2" borderId="2" xfId="0" applyFont="1" applyFill="1" applyBorder="1"/>
    <xf numFmtId="0" fontId="20" fillId="0" borderId="8" xfId="0" applyFont="1" applyBorder="1"/>
    <xf numFmtId="0" fontId="3" fillId="0" borderId="8" xfId="0" applyFont="1" applyFill="1" applyBorder="1" applyAlignment="1" applyProtection="1">
      <alignment horizontal="right" vertical="center"/>
    </xf>
    <xf numFmtId="2" fontId="3" fillId="0" borderId="8" xfId="0" applyNumberFormat="1" applyFont="1" applyFill="1" applyBorder="1" applyAlignment="1" applyProtection="1">
      <alignment horizontal="right" vertical="center"/>
    </xf>
    <xf numFmtId="167" fontId="3" fillId="0" borderId="8" xfId="2" applyNumberFormat="1" applyFont="1" applyBorder="1" applyAlignment="1" applyProtection="1">
      <alignment horizontal="right" vertical="center"/>
      <protection locked="0"/>
    </xf>
    <xf numFmtId="0" fontId="11" fillId="0" borderId="11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right" vertical="center"/>
    </xf>
    <xf numFmtId="0" fontId="3" fillId="0" borderId="8" xfId="0" applyFont="1" applyBorder="1"/>
    <xf numFmtId="0" fontId="11" fillId="0" borderId="11" xfId="0" applyFont="1" applyBorder="1" applyAlignment="1">
      <alignment horizontal="left"/>
    </xf>
    <xf numFmtId="1" fontId="11" fillId="0" borderId="12" xfId="1" applyNumberFormat="1" applyFont="1" applyFill="1" applyBorder="1" applyAlignment="1">
      <alignment horizontal="right" vertical="center"/>
    </xf>
    <xf numFmtId="0" fontId="3" fillId="4" borderId="0" xfId="0" applyFont="1" applyFill="1" applyBorder="1"/>
    <xf numFmtId="0" fontId="11" fillId="3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13" xfId="0" applyFont="1" applyFill="1" applyBorder="1"/>
    <xf numFmtId="0" fontId="11" fillId="0" borderId="13" xfId="0" applyFont="1" applyFill="1" applyBorder="1"/>
    <xf numFmtId="10" fontId="3" fillId="0" borderId="8" xfId="2" applyNumberFormat="1" applyFont="1" applyFill="1" applyBorder="1" applyAlignment="1" applyProtection="1">
      <alignment horizontal="right" vertical="center"/>
      <protection locked="0"/>
    </xf>
    <xf numFmtId="0" fontId="5" fillId="0" borderId="7" xfId="0" applyFont="1" applyBorder="1"/>
    <xf numFmtId="10" fontId="6" fillId="0" borderId="8" xfId="0" applyNumberFormat="1" applyFont="1" applyBorder="1" applyAlignment="1">
      <alignment horizontal="right" vertical="center"/>
    </xf>
    <xf numFmtId="165" fontId="3" fillId="0" borderId="10" xfId="1" applyFont="1" applyFill="1" applyBorder="1" applyAlignment="1" applyProtection="1">
      <alignment horizontal="right"/>
    </xf>
    <xf numFmtId="164" fontId="3" fillId="0" borderId="8" xfId="4" applyNumberFormat="1" applyFont="1" applyBorder="1" applyAlignment="1" applyProtection="1">
      <alignment horizontal="right" vertical="center"/>
      <protection locked="0"/>
    </xf>
    <xf numFmtId="165" fontId="3" fillId="0" borderId="8" xfId="1" applyFont="1" applyFill="1" applyBorder="1" applyAlignment="1" applyProtection="1">
      <alignment horizontal="right" vertical="center"/>
      <protection locked="0"/>
    </xf>
    <xf numFmtId="164" fontId="16" fillId="0" borderId="8" xfId="0" applyNumberFormat="1" applyFont="1" applyFill="1" applyBorder="1" applyAlignment="1" applyProtection="1">
      <alignment horizontal="right" vertical="center"/>
      <protection locked="0"/>
    </xf>
    <xf numFmtId="164" fontId="16" fillId="0" borderId="8" xfId="2" applyNumberFormat="1" applyFont="1" applyBorder="1" applyAlignment="1" applyProtection="1">
      <alignment horizontal="right" vertical="center"/>
      <protection locked="0"/>
    </xf>
    <xf numFmtId="164" fontId="16" fillId="0" borderId="8" xfId="4" applyNumberFormat="1" applyFont="1" applyBorder="1" applyAlignment="1" applyProtection="1">
      <alignment horizontal="right" vertical="center"/>
      <protection locked="0"/>
    </xf>
    <xf numFmtId="164" fontId="16" fillId="0" borderId="10" xfId="4" applyNumberFormat="1" applyFont="1" applyBorder="1" applyAlignment="1" applyProtection="1">
      <alignment horizontal="right" vertical="center"/>
      <protection locked="0"/>
    </xf>
    <xf numFmtId="171" fontId="16" fillId="0" borderId="8" xfId="0" applyNumberFormat="1" applyFont="1" applyFill="1" applyBorder="1" applyAlignment="1" applyProtection="1">
      <alignment horizontal="right" vertical="center"/>
      <protection locked="0"/>
    </xf>
    <xf numFmtId="4" fontId="16" fillId="0" borderId="8" xfId="4" applyNumberFormat="1" applyFont="1" applyFill="1" applyBorder="1" applyAlignment="1" applyProtection="1">
      <alignment horizontal="right" vertical="center"/>
      <protection locked="0"/>
    </xf>
    <xf numFmtId="10" fontId="16" fillId="3" borderId="8" xfId="3" applyNumberFormat="1" applyFont="1" applyFill="1" applyBorder="1" applyAlignment="1" applyProtection="1">
      <alignment horizontal="right" vertical="center"/>
      <protection locked="0"/>
    </xf>
    <xf numFmtId="10" fontId="16" fillId="0" borderId="8" xfId="4" applyNumberFormat="1" applyFont="1" applyFill="1" applyBorder="1" applyAlignment="1" applyProtection="1">
      <alignment horizontal="right" vertical="center"/>
      <protection locked="0"/>
    </xf>
    <xf numFmtId="165" fontId="16" fillId="0" borderId="8" xfId="4" applyFont="1" applyFill="1" applyBorder="1" applyAlignment="1" applyProtection="1">
      <alignment horizontal="right" vertical="center"/>
      <protection locked="0"/>
    </xf>
    <xf numFmtId="165" fontId="12" fillId="0" borderId="8" xfId="4" applyFont="1" applyFill="1" applyBorder="1" applyAlignment="1" applyProtection="1">
      <alignment horizontal="right" vertical="center"/>
      <protection locked="0"/>
    </xf>
    <xf numFmtId="165" fontId="16" fillId="0" borderId="8" xfId="1" applyFont="1" applyFill="1" applyBorder="1" applyAlignment="1" applyProtection="1">
      <alignment horizontal="right" vertical="center"/>
      <protection locked="0"/>
    </xf>
    <xf numFmtId="0" fontId="2" fillId="0" borderId="7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8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15" fillId="0" borderId="7" xfId="0" applyFont="1" applyBorder="1" applyProtection="1">
      <protection locked="0"/>
    </xf>
    <xf numFmtId="0" fontId="15" fillId="0" borderId="0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7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7" xfId="0" applyFont="1" applyBorder="1" applyAlignment="1">
      <alignment horizontal="justify" vertical="justify" wrapText="1"/>
    </xf>
    <xf numFmtId="0" fontId="2" fillId="0" borderId="0" xfId="0" applyFont="1" applyBorder="1" applyAlignment="1">
      <alignment horizontal="justify" vertical="justify" wrapText="1"/>
    </xf>
    <xf numFmtId="0" fontId="2" fillId="0" borderId="8" xfId="0" applyFont="1" applyBorder="1" applyAlignment="1">
      <alignment horizontal="justify" vertical="justify" wrapText="1"/>
    </xf>
    <xf numFmtId="0" fontId="2" fillId="0" borderId="7" xfId="0" applyFont="1" applyBorder="1" applyAlignment="1">
      <alignment horizontal="justify" vertical="justify"/>
    </xf>
    <xf numFmtId="0" fontId="2" fillId="0" borderId="0" xfId="0" applyFont="1" applyBorder="1" applyAlignment="1">
      <alignment horizontal="justify" vertical="justify"/>
    </xf>
    <xf numFmtId="0" fontId="2" fillId="0" borderId="8" xfId="0" applyFont="1" applyBorder="1" applyAlignment="1">
      <alignment horizontal="justify" vertical="justify"/>
    </xf>
    <xf numFmtId="0" fontId="11" fillId="0" borderId="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8" xfId="0" applyFont="1" applyBorder="1" applyAlignment="1" applyProtection="1">
      <alignment horizontal="right"/>
      <protection locked="0"/>
    </xf>
    <xf numFmtId="0" fontId="14" fillId="0" borderId="7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14" fillId="0" borderId="8" xfId="0" applyFont="1" applyBorder="1" applyAlignment="1">
      <alignment horizontal="left" wrapText="1"/>
    </xf>
    <xf numFmtId="0" fontId="14" fillId="0" borderId="7" xfId="0" applyFont="1" applyBorder="1" applyAlignment="1">
      <alignment horizontal="justify" vertical="justify" wrapText="1"/>
    </xf>
    <xf numFmtId="0" fontId="14" fillId="0" borderId="0" xfId="0" applyFont="1" applyBorder="1" applyAlignment="1">
      <alignment horizontal="justify" vertical="justify" wrapText="1"/>
    </xf>
    <xf numFmtId="0" fontId="14" fillId="0" borderId="8" xfId="0" applyFont="1" applyBorder="1" applyAlignment="1">
      <alignment horizontal="justify" vertical="justify" wrapText="1"/>
    </xf>
    <xf numFmtId="0" fontId="12" fillId="2" borderId="2" xfId="0" applyFont="1" applyFill="1" applyBorder="1" applyAlignment="1">
      <alignment horizontal="left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4" fillId="0" borderId="7" xfId="0" applyFont="1" applyBorder="1" applyAlignment="1">
      <alignment horizontal="justify" vertical="justify"/>
    </xf>
    <xf numFmtId="0" fontId="14" fillId="0" borderId="0" xfId="0" applyFont="1" applyBorder="1" applyAlignment="1">
      <alignment horizontal="justify" vertical="justify"/>
    </xf>
    <xf numFmtId="0" fontId="14" fillId="0" borderId="8" xfId="0" applyFont="1" applyBorder="1" applyAlignment="1">
      <alignment horizontal="justify" vertical="justify"/>
    </xf>
    <xf numFmtId="165" fontId="3" fillId="0" borderId="8" xfId="1" applyFont="1" applyBorder="1" applyAlignment="1" applyProtection="1">
      <alignment horizontal="right" vertical="center"/>
      <protection hidden="1"/>
    </xf>
    <xf numFmtId="165" fontId="11" fillId="0" borderId="8" xfId="1" applyFont="1" applyFill="1" applyBorder="1" applyAlignment="1" applyProtection="1">
      <alignment horizontal="right" vertical="center"/>
      <protection hidden="1"/>
    </xf>
    <xf numFmtId="165" fontId="3" fillId="0" borderId="8" xfId="1" applyFont="1" applyFill="1" applyBorder="1" applyAlignment="1" applyProtection="1">
      <alignment horizontal="right" vertical="center"/>
      <protection hidden="1"/>
    </xf>
    <xf numFmtId="165" fontId="11" fillId="0" borderId="12" xfId="1" applyFont="1" applyFill="1" applyBorder="1" applyAlignment="1" applyProtection="1">
      <alignment horizontal="right" vertical="center"/>
      <protection hidden="1"/>
    </xf>
    <xf numFmtId="165" fontId="3" fillId="0" borderId="8" xfId="1" applyNumberFormat="1" applyFont="1" applyFill="1" applyBorder="1" applyAlignment="1" applyProtection="1">
      <alignment horizontal="right" vertical="center"/>
      <protection hidden="1"/>
    </xf>
    <xf numFmtId="166" fontId="11" fillId="0" borderId="10" xfId="1" applyNumberFormat="1" applyFont="1" applyFill="1" applyBorder="1" applyAlignment="1" applyProtection="1">
      <alignment horizontal="left" vertical="center"/>
      <protection hidden="1"/>
    </xf>
    <xf numFmtId="165" fontId="3" fillId="0" borderId="14" xfId="1" applyFont="1" applyFill="1" applyBorder="1" applyAlignment="1" applyProtection="1">
      <alignment horizontal="right" vertical="center"/>
      <protection hidden="1"/>
    </xf>
    <xf numFmtId="164" fontId="3" fillId="0" borderId="8" xfId="3" applyNumberFormat="1" applyFont="1" applyFill="1" applyBorder="1" applyAlignment="1" applyProtection="1">
      <alignment horizontal="right" vertical="center"/>
      <protection hidden="1"/>
    </xf>
    <xf numFmtId="166" fontId="11" fillId="0" borderId="10" xfId="1" applyNumberFormat="1" applyFont="1" applyFill="1" applyBorder="1" applyAlignment="1" applyProtection="1">
      <alignment horizontal="right" vertical="center"/>
      <protection hidden="1"/>
    </xf>
    <xf numFmtId="166" fontId="3" fillId="0" borderId="8" xfId="1" applyNumberFormat="1" applyFont="1" applyFill="1" applyBorder="1" applyAlignment="1" applyProtection="1">
      <alignment horizontal="right" vertical="center"/>
      <protection hidden="1"/>
    </xf>
    <xf numFmtId="166" fontId="3" fillId="0" borderId="8" xfId="0" applyNumberFormat="1" applyFont="1" applyFill="1" applyBorder="1" applyAlignment="1" applyProtection="1">
      <alignment horizontal="right"/>
      <protection hidden="1"/>
    </xf>
    <xf numFmtId="165" fontId="11" fillId="0" borderId="14" xfId="4" applyFont="1" applyBorder="1" applyAlignment="1" applyProtection="1">
      <alignment horizontal="right" vertical="center"/>
      <protection hidden="1"/>
    </xf>
    <xf numFmtId="166" fontId="11" fillId="0" borderId="8" xfId="1" applyNumberFormat="1" applyFont="1" applyFill="1" applyBorder="1" applyAlignment="1" applyProtection="1">
      <alignment horizontal="right" vertical="center"/>
      <protection hidden="1"/>
    </xf>
    <xf numFmtId="10" fontId="11" fillId="0" borderId="8" xfId="3" applyNumberFormat="1" applyFont="1" applyFill="1" applyBorder="1" applyAlignment="1" applyProtection="1">
      <alignment horizontal="right" vertical="center"/>
      <protection hidden="1"/>
    </xf>
    <xf numFmtId="167" fontId="3" fillId="0" borderId="8" xfId="2" applyNumberFormat="1" applyFont="1" applyBorder="1" applyAlignment="1" applyProtection="1">
      <alignment horizontal="right" vertical="center"/>
      <protection hidden="1"/>
    </xf>
    <xf numFmtId="167" fontId="11" fillId="0" borderId="10" xfId="3" applyNumberFormat="1" applyFont="1" applyFill="1" applyBorder="1" applyAlignment="1" applyProtection="1">
      <alignment horizontal="right" vertical="center"/>
      <protection hidden="1"/>
    </xf>
    <xf numFmtId="166" fontId="11" fillId="0" borderId="14" xfId="1" applyNumberFormat="1" applyFont="1" applyFill="1" applyBorder="1" applyAlignment="1" applyProtection="1">
      <alignment horizontal="right" vertical="center"/>
      <protection hidden="1"/>
    </xf>
    <xf numFmtId="166" fontId="11" fillId="0" borderId="10" xfId="1" quotePrefix="1" applyNumberFormat="1" applyFont="1" applyFill="1" applyBorder="1" applyAlignment="1" applyProtection="1">
      <alignment horizontal="right" vertical="center"/>
      <protection hidden="1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10" fontId="11" fillId="0" borderId="14" xfId="3" applyNumberFormat="1" applyFont="1" applyFill="1" applyBorder="1" applyAlignment="1" applyProtection="1">
      <alignment horizontal="right" vertical="center"/>
      <protection hidden="1"/>
    </xf>
    <xf numFmtId="164" fontId="11" fillId="0" borderId="12" xfId="3" applyNumberFormat="1" applyFont="1" applyFill="1" applyBorder="1" applyAlignment="1" applyProtection="1">
      <alignment horizontal="right" vertical="center"/>
      <protection hidden="1"/>
    </xf>
    <xf numFmtId="167" fontId="11" fillId="0" borderId="12" xfId="2" applyNumberFormat="1" applyFont="1" applyFill="1" applyBorder="1" applyAlignment="1" applyProtection="1">
      <alignment horizontal="right" vertical="center"/>
      <protection hidden="1"/>
    </xf>
    <xf numFmtId="0" fontId="11" fillId="2" borderId="12" xfId="0" applyFont="1" applyFill="1" applyBorder="1" applyAlignment="1" applyProtection="1">
      <alignment horizontal="center"/>
      <protection hidden="1"/>
    </xf>
    <xf numFmtId="0" fontId="3" fillId="0" borderId="14" xfId="0" applyFont="1" applyFill="1" applyBorder="1" applyAlignment="1" applyProtection="1">
      <alignment horizontal="right" vertical="center"/>
      <protection hidden="1"/>
    </xf>
    <xf numFmtId="166" fontId="3" fillId="0" borderId="8" xfId="0" applyNumberFormat="1" applyFont="1" applyFill="1" applyBorder="1" applyAlignment="1" applyProtection="1">
      <alignment horizontal="right" vertical="center"/>
      <protection hidden="1"/>
    </xf>
    <xf numFmtId="167" fontId="3" fillId="0" borderId="8" xfId="2" applyNumberFormat="1" applyFont="1" applyFill="1" applyBorder="1" applyAlignment="1" applyProtection="1">
      <alignment horizontal="right" vertical="center"/>
      <protection hidden="1"/>
    </xf>
    <xf numFmtId="166" fontId="11" fillId="0" borderId="8" xfId="0" applyNumberFormat="1" applyFont="1" applyFill="1" applyBorder="1" applyAlignment="1" applyProtection="1">
      <alignment horizontal="right" vertical="center"/>
      <protection hidden="1"/>
    </xf>
    <xf numFmtId="169" fontId="3" fillId="0" borderId="8" xfId="0" applyNumberFormat="1" applyFont="1" applyFill="1" applyBorder="1" applyAlignment="1" applyProtection="1">
      <alignment horizontal="right" vertical="center"/>
      <protection hidden="1"/>
    </xf>
    <xf numFmtId="166" fontId="3" fillId="0" borderId="8" xfId="1" applyNumberFormat="1" applyFont="1" applyBorder="1" applyAlignment="1" applyProtection="1">
      <alignment horizontal="right" vertical="center"/>
      <protection hidden="1"/>
    </xf>
    <xf numFmtId="0" fontId="11" fillId="0" borderId="8" xfId="0" applyFont="1" applyBorder="1" applyAlignment="1" applyProtection="1">
      <alignment horizontal="right" vertical="center"/>
      <protection hidden="1"/>
    </xf>
    <xf numFmtId="166" fontId="11" fillId="0" borderId="8" xfId="0" applyNumberFormat="1" applyFont="1" applyBorder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right" vertical="center"/>
      <protection hidden="1"/>
    </xf>
    <xf numFmtId="166" fontId="11" fillId="0" borderId="8" xfId="1" applyNumberFormat="1" applyFont="1" applyBorder="1" applyAlignment="1" applyProtection="1">
      <alignment horizontal="right" vertical="center"/>
      <protection hidden="1"/>
    </xf>
    <xf numFmtId="166" fontId="11" fillId="0" borderId="12" xfId="0" applyNumberFormat="1" applyFont="1" applyBorder="1" applyProtection="1">
      <protection hidden="1"/>
    </xf>
    <xf numFmtId="167" fontId="3" fillId="0" borderId="14" xfId="2" applyNumberFormat="1" applyFont="1" applyBorder="1" applyAlignment="1" applyProtection="1">
      <alignment horizontal="right" vertical="center"/>
      <protection hidden="1"/>
    </xf>
    <xf numFmtId="9" fontId="3" fillId="0" borderId="8" xfId="3" applyFont="1" applyFill="1" applyBorder="1" applyAlignment="1" applyProtection="1">
      <alignment horizontal="right" vertical="center"/>
      <protection hidden="1"/>
    </xf>
    <xf numFmtId="167" fontId="11" fillId="0" borderId="14" xfId="2" applyNumberFormat="1" applyFont="1" applyFill="1" applyBorder="1" applyAlignment="1" applyProtection="1">
      <alignment horizontal="right" vertical="center"/>
      <protection hidden="1"/>
    </xf>
    <xf numFmtId="167" fontId="3" fillId="0" borderId="14" xfId="2" applyNumberFormat="1" applyFont="1" applyFill="1" applyBorder="1" applyAlignment="1" applyProtection="1">
      <alignment horizontal="right" vertical="center"/>
      <protection hidden="1"/>
    </xf>
    <xf numFmtId="167" fontId="11" fillId="2" borderId="12" xfId="2" applyNumberFormat="1" applyFont="1" applyFill="1" applyBorder="1" applyAlignment="1" applyProtection="1">
      <alignment horizontal="center"/>
      <protection hidden="1"/>
    </xf>
    <xf numFmtId="2" fontId="16" fillId="0" borderId="14" xfId="0" applyNumberFormat="1" applyFont="1" applyBorder="1" applyAlignment="1" applyProtection="1">
      <alignment horizontal="right" vertical="center"/>
      <protection hidden="1"/>
    </xf>
    <xf numFmtId="2" fontId="16" fillId="3" borderId="8" xfId="0" applyNumberFormat="1" applyFont="1" applyFill="1" applyBorder="1" applyAlignment="1" applyProtection="1">
      <alignment horizontal="right" vertical="center"/>
      <protection hidden="1"/>
    </xf>
    <xf numFmtId="0" fontId="12" fillId="0" borderId="8" xfId="0" applyFont="1" applyFill="1" applyBorder="1" applyAlignment="1" applyProtection="1">
      <alignment horizontal="right" vertical="center"/>
      <protection hidden="1"/>
    </xf>
    <xf numFmtId="0" fontId="12" fillId="0" borderId="8" xfId="0" applyFont="1" applyBorder="1" applyAlignment="1" applyProtection="1">
      <alignment horizontal="right" vertical="center"/>
      <protection hidden="1"/>
    </xf>
    <xf numFmtId="0" fontId="16" fillId="0" borderId="8" xfId="0" applyFont="1" applyFill="1" applyBorder="1" applyAlignment="1" applyProtection="1">
      <alignment horizontal="right" vertical="center"/>
      <protection hidden="1"/>
    </xf>
    <xf numFmtId="0" fontId="12" fillId="0" borderId="10" xfId="0" applyFont="1" applyFill="1" applyBorder="1" applyAlignment="1" applyProtection="1">
      <alignment horizontal="right" vertical="center"/>
      <protection hidden="1"/>
    </xf>
    <xf numFmtId="168" fontId="16" fillId="0" borderId="14" xfId="4" applyNumberFormat="1" applyFont="1" applyBorder="1" applyAlignment="1" applyProtection="1">
      <alignment horizontal="right" vertical="center"/>
      <protection hidden="1"/>
    </xf>
    <xf numFmtId="168" fontId="16" fillId="0" borderId="8" xfId="4" applyNumberFormat="1" applyFont="1" applyBorder="1" applyAlignment="1" applyProtection="1">
      <alignment horizontal="right" vertical="top"/>
      <protection hidden="1"/>
    </xf>
    <xf numFmtId="168" fontId="16" fillId="0" borderId="8" xfId="4" applyNumberFormat="1" applyFont="1" applyBorder="1" applyAlignment="1" applyProtection="1">
      <alignment horizontal="right" vertical="center"/>
      <protection hidden="1"/>
    </xf>
    <xf numFmtId="1" fontId="16" fillId="0" borderId="8" xfId="1" applyNumberFormat="1" applyFont="1" applyBorder="1" applyAlignment="1" applyProtection="1">
      <alignment horizontal="right" vertical="center"/>
      <protection hidden="1"/>
    </xf>
    <xf numFmtId="1" fontId="12" fillId="0" borderId="10" xfId="1" applyNumberFormat="1" applyFont="1" applyFill="1" applyBorder="1" applyAlignment="1" applyProtection="1">
      <alignment horizontal="right" vertical="center"/>
      <protection hidden="1"/>
    </xf>
    <xf numFmtId="37" fontId="16" fillId="3" borderId="8" xfId="4" applyNumberFormat="1" applyFont="1" applyFill="1" applyBorder="1" applyAlignment="1" applyProtection="1">
      <alignment horizontal="right" vertical="center"/>
      <protection hidden="1"/>
    </xf>
    <xf numFmtId="37" fontId="16" fillId="0" borderId="8" xfId="4" applyNumberFormat="1" applyFont="1" applyFill="1" applyBorder="1" applyAlignment="1" applyProtection="1">
      <alignment horizontal="right" vertical="center"/>
      <protection hidden="1"/>
    </xf>
    <xf numFmtId="37" fontId="12" fillId="0" borderId="8" xfId="4" applyNumberFormat="1" applyFont="1" applyFill="1" applyBorder="1" applyAlignment="1" applyProtection="1">
      <alignment horizontal="right" vertical="center"/>
      <protection hidden="1"/>
    </xf>
    <xf numFmtId="165" fontId="12" fillId="0" borderId="8" xfId="1" applyFont="1" applyFill="1" applyBorder="1" applyAlignment="1" applyProtection="1">
      <alignment horizontal="right" vertical="center"/>
      <protection hidden="1"/>
    </xf>
    <xf numFmtId="165" fontId="16" fillId="0" borderId="8" xfId="1" applyFont="1" applyFill="1" applyBorder="1" applyAlignment="1" applyProtection="1">
      <alignment horizontal="right" vertical="center"/>
      <protection hidden="1"/>
    </xf>
    <xf numFmtId="164" fontId="12" fillId="0" borderId="10" xfId="4" applyNumberFormat="1" applyFont="1" applyFill="1" applyBorder="1" applyAlignment="1" applyProtection="1">
      <alignment horizontal="right" vertical="center"/>
      <protection hidden="1"/>
    </xf>
    <xf numFmtId="165" fontId="16" fillId="0" borderId="14" xfId="1" applyFont="1" applyFill="1" applyBorder="1" applyAlignment="1" applyProtection="1">
      <alignment horizontal="right" vertical="center"/>
      <protection hidden="1"/>
    </xf>
    <xf numFmtId="165" fontId="16" fillId="0" borderId="8" xfId="1" applyNumberFormat="1" applyFont="1" applyFill="1" applyBorder="1" applyAlignment="1" applyProtection="1">
      <alignment horizontal="right" vertical="center"/>
      <protection hidden="1"/>
    </xf>
    <xf numFmtId="166" fontId="12" fillId="0" borderId="10" xfId="1" applyNumberFormat="1" applyFont="1" applyFill="1" applyBorder="1" applyAlignment="1" applyProtection="1">
      <alignment horizontal="left" vertical="center"/>
      <protection hidden="1"/>
    </xf>
    <xf numFmtId="165" fontId="12" fillId="0" borderId="14" xfId="4" applyFont="1" applyFill="1" applyBorder="1" applyAlignment="1" applyProtection="1">
      <alignment horizontal="right" vertical="center"/>
      <protection hidden="1"/>
    </xf>
    <xf numFmtId="172" fontId="16" fillId="0" borderId="8" xfId="2" applyNumberFormat="1" applyFont="1" applyFill="1" applyBorder="1" applyAlignment="1" applyProtection="1">
      <alignment horizontal="right" vertical="center"/>
      <protection hidden="1"/>
    </xf>
    <xf numFmtId="164" fontId="16" fillId="0" borderId="8" xfId="4" applyNumberFormat="1" applyFont="1" applyFill="1" applyBorder="1" applyAlignment="1" applyProtection="1">
      <alignment horizontal="right" vertical="center"/>
      <protection hidden="1"/>
    </xf>
    <xf numFmtId="164" fontId="12" fillId="0" borderId="10" xfId="4" applyNumberFormat="1" applyFont="1" applyBorder="1" applyAlignment="1" applyProtection="1">
      <alignment horizontal="right" vertical="center"/>
      <protection hidden="1"/>
    </xf>
    <xf numFmtId="166" fontId="16" fillId="0" borderId="8" xfId="0" applyNumberFormat="1" applyFont="1" applyFill="1" applyBorder="1" applyAlignment="1" applyProtection="1">
      <alignment horizontal="right"/>
      <protection hidden="1"/>
    </xf>
    <xf numFmtId="166" fontId="12" fillId="0" borderId="10" xfId="4" applyNumberFormat="1" applyFont="1" applyFill="1" applyBorder="1" applyAlignment="1" applyProtection="1">
      <alignment horizontal="right" vertical="center"/>
      <protection hidden="1"/>
    </xf>
    <xf numFmtId="166" fontId="16" fillId="0" borderId="8" xfId="4" applyNumberFormat="1" applyFont="1" applyFill="1" applyBorder="1" applyAlignment="1" applyProtection="1">
      <alignment horizontal="right" vertical="center"/>
      <protection hidden="1"/>
    </xf>
    <xf numFmtId="164" fontId="12" fillId="0" borderId="8" xfId="4" applyNumberFormat="1" applyFont="1" applyFill="1" applyBorder="1" applyAlignment="1" applyProtection="1">
      <alignment horizontal="right" vertical="center"/>
      <protection hidden="1"/>
    </xf>
    <xf numFmtId="167" fontId="16" fillId="0" borderId="8" xfId="2" applyNumberFormat="1" applyFont="1" applyBorder="1" applyAlignment="1" applyProtection="1">
      <alignment horizontal="right" vertical="center"/>
      <protection hidden="1"/>
    </xf>
    <xf numFmtId="167" fontId="12" fillId="0" borderId="10" xfId="3" applyNumberFormat="1" applyFont="1" applyFill="1" applyBorder="1" applyAlignment="1" applyProtection="1">
      <alignment horizontal="right" vertical="center"/>
      <protection hidden="1"/>
    </xf>
    <xf numFmtId="164" fontId="16" fillId="0" borderId="8" xfId="3" applyNumberFormat="1" applyFont="1" applyFill="1" applyBorder="1" applyAlignment="1" applyProtection="1">
      <alignment horizontal="right" vertical="center"/>
      <protection hidden="1"/>
    </xf>
    <xf numFmtId="166" fontId="12" fillId="0" borderId="10" xfId="1" applyNumberFormat="1" applyFont="1" applyFill="1" applyBorder="1" applyAlignment="1" applyProtection="1">
      <alignment horizontal="right" vertical="center"/>
      <protection hidden="1"/>
    </xf>
    <xf numFmtId="166" fontId="16" fillId="0" borderId="8" xfId="1" applyNumberFormat="1" applyFont="1" applyFill="1" applyBorder="1" applyAlignment="1" applyProtection="1">
      <alignment horizontal="right" vertical="center"/>
      <protection hidden="1"/>
    </xf>
    <xf numFmtId="166" fontId="12" fillId="0" borderId="8" xfId="1" applyNumberFormat="1" applyFont="1" applyFill="1" applyBorder="1" applyAlignment="1" applyProtection="1">
      <alignment horizontal="right" vertical="center"/>
      <protection hidden="1"/>
    </xf>
    <xf numFmtId="10" fontId="12" fillId="0" borderId="14" xfId="3" applyNumberFormat="1" applyFont="1" applyFill="1" applyBorder="1" applyAlignment="1" applyProtection="1">
      <alignment horizontal="right" vertical="center"/>
      <protection hidden="1"/>
    </xf>
    <xf numFmtId="167" fontId="12" fillId="0" borderId="8" xfId="3" applyNumberFormat="1" applyFont="1" applyFill="1" applyBorder="1" applyAlignment="1" applyProtection="1">
      <alignment horizontal="right" vertical="center"/>
      <protection hidden="1"/>
    </xf>
    <xf numFmtId="164" fontId="12" fillId="0" borderId="12" xfId="3" applyNumberFormat="1" applyFont="1" applyFill="1" applyBorder="1" applyAlignment="1" applyProtection="1">
      <alignment horizontal="right" vertical="center"/>
      <protection hidden="1"/>
    </xf>
    <xf numFmtId="167" fontId="16" fillId="0" borderId="8" xfId="2" applyNumberFormat="1" applyFont="1" applyFill="1" applyBorder="1" applyAlignment="1" applyProtection="1">
      <alignment horizontal="right" vertical="center"/>
      <protection hidden="1"/>
    </xf>
    <xf numFmtId="164" fontId="20" fillId="0" borderId="8" xfId="2" applyFont="1" applyBorder="1" applyProtection="1">
      <protection hidden="1"/>
    </xf>
    <xf numFmtId="167" fontId="12" fillId="0" borderId="10" xfId="2" applyNumberFormat="1" applyFont="1" applyFill="1" applyBorder="1" applyAlignment="1" applyProtection="1">
      <alignment horizontal="right" vertical="center"/>
      <protection hidden="1"/>
    </xf>
    <xf numFmtId="0" fontId="12" fillId="0" borderId="14" xfId="0" applyFont="1" applyFill="1" applyBorder="1" applyAlignment="1" applyProtection="1">
      <alignment horizontal="right" vertical="center"/>
      <protection hidden="1"/>
    </xf>
    <xf numFmtId="0" fontId="12" fillId="0" borderId="14" xfId="0" applyFont="1" applyBorder="1" applyAlignment="1" applyProtection="1">
      <alignment horizontal="right" vertical="center"/>
      <protection hidden="1"/>
    </xf>
    <xf numFmtId="167" fontId="12" fillId="0" borderId="10" xfId="2" applyNumberFormat="1" applyFont="1" applyBorder="1" applyAlignment="1" applyProtection="1">
      <alignment horizontal="right" vertical="center"/>
      <protection hidden="1"/>
    </xf>
    <xf numFmtId="166" fontId="16" fillId="0" borderId="8" xfId="0" applyNumberFormat="1" applyFont="1" applyBorder="1" applyAlignment="1" applyProtection="1">
      <alignment horizontal="right" vertical="center"/>
      <protection hidden="1"/>
    </xf>
    <xf numFmtId="2" fontId="12" fillId="0" borderId="8" xfId="0" applyNumberFormat="1" applyFont="1" applyBorder="1" applyAlignment="1" applyProtection="1">
      <alignment horizontal="right" vertical="center"/>
      <protection hidden="1"/>
    </xf>
    <xf numFmtId="166" fontId="12" fillId="0" borderId="8" xfId="1" applyNumberFormat="1" applyFont="1" applyBorder="1" applyAlignment="1" applyProtection="1">
      <alignment horizontal="right" vertical="center"/>
      <protection hidden="1"/>
    </xf>
    <xf numFmtId="166" fontId="12" fillId="0" borderId="12" xfId="0" applyNumberFormat="1" applyFont="1" applyBorder="1" applyProtection="1">
      <protection hidden="1"/>
    </xf>
    <xf numFmtId="166" fontId="12" fillId="0" borderId="8" xfId="0" applyNumberFormat="1" applyFont="1" applyFill="1" applyBorder="1" applyAlignment="1" applyProtection="1">
      <alignment horizontal="center" vertical="center" wrapText="1"/>
      <protection hidden="1"/>
    </xf>
    <xf numFmtId="167" fontId="12" fillId="0" borderId="12" xfId="2" applyNumberFormat="1" applyFont="1" applyFill="1" applyBorder="1" applyAlignment="1" applyProtection="1">
      <alignment horizontal="right" vertical="center"/>
      <protection hidden="1"/>
    </xf>
    <xf numFmtId="166" fontId="12" fillId="0" borderId="14" xfId="0" applyNumberFormat="1" applyFont="1" applyFill="1" applyBorder="1" applyAlignment="1" applyProtection="1">
      <alignment horizontal="center" vertical="center" wrapText="1"/>
      <protection hidden="1"/>
    </xf>
    <xf numFmtId="167" fontId="12" fillId="2" borderId="12" xfId="2" applyNumberFormat="1" applyFont="1" applyFill="1" applyBorder="1" applyAlignment="1" applyProtection="1">
      <alignment horizontal="right" vertical="center"/>
      <protection hidden="1"/>
    </xf>
    <xf numFmtId="0" fontId="12" fillId="2" borderId="12" xfId="0" applyFont="1" applyFill="1" applyBorder="1" applyAlignment="1" applyProtection="1">
      <alignment horizontal="center" vertical="center" wrapText="1"/>
      <protection hidden="1"/>
    </xf>
  </cellXfs>
  <cellStyles count="5">
    <cellStyle name="Moeda" xfId="2" builtinId="4"/>
    <cellStyle name="Normal" xfId="0" builtinId="0"/>
    <cellStyle name="Porcentagem" xfId="3" builtinId="5"/>
    <cellStyle name="Separador de milhares 2" xfId="4"/>
    <cellStyle name="Vírgula" xfId="1" builtinId="3"/>
  </cellStyles>
  <dxfs count="9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00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7"/>
  <sheetViews>
    <sheetView showGridLines="0" view="pageBreakPreview" topLeftCell="B1" zoomScale="110" zoomScaleNormal="90" zoomScaleSheetLayoutView="110" workbookViewId="0">
      <selection activeCell="F132" sqref="F132"/>
    </sheetView>
  </sheetViews>
  <sheetFormatPr defaultRowHeight="14.25" x14ac:dyDescent="0.2"/>
  <cols>
    <col min="1" max="1" width="6.140625" style="1" customWidth="1"/>
    <col min="2" max="2" width="0.140625" style="1" customWidth="1"/>
    <col min="3" max="3" width="0.7109375" style="1" customWidth="1"/>
    <col min="4" max="4" width="55.28515625" style="1" customWidth="1"/>
    <col min="5" max="5" width="13.7109375" style="1" bestFit="1" customWidth="1"/>
    <col min="6" max="6" width="17.28515625" style="1" bestFit="1" customWidth="1"/>
    <col min="7" max="7" width="14.28515625" style="65" customWidth="1"/>
    <col min="8" max="8" width="58.7109375" style="1" bestFit="1" customWidth="1"/>
    <col min="9" max="9" width="11.85546875" style="1" bestFit="1" customWidth="1"/>
    <col min="10" max="10" width="18" style="1" bestFit="1" customWidth="1"/>
    <col min="11" max="16384" width="9.140625" style="1"/>
  </cols>
  <sheetData>
    <row r="1" spans="1:7" x14ac:dyDescent="0.2">
      <c r="A1" s="325" t="s">
        <v>547</v>
      </c>
      <c r="B1" s="326"/>
      <c r="C1" s="326"/>
      <c r="D1" s="326"/>
      <c r="E1" s="326"/>
      <c r="F1" s="327"/>
    </row>
    <row r="2" spans="1:7" x14ac:dyDescent="0.2">
      <c r="A2" s="321"/>
      <c r="B2" s="322"/>
      <c r="C2" s="322"/>
      <c r="D2" s="322"/>
      <c r="E2" s="322"/>
      <c r="F2" s="324"/>
    </row>
    <row r="3" spans="1:7" x14ac:dyDescent="0.2">
      <c r="A3" s="321"/>
      <c r="B3" s="322"/>
      <c r="C3" s="322"/>
      <c r="D3" s="322"/>
      <c r="E3" s="322"/>
      <c r="F3" s="324"/>
    </row>
    <row r="4" spans="1:7" x14ac:dyDescent="0.2">
      <c r="A4" s="321"/>
      <c r="B4" s="322"/>
      <c r="C4" s="322"/>
      <c r="D4" s="322"/>
      <c r="E4" s="322"/>
      <c r="F4" s="324"/>
    </row>
    <row r="5" spans="1:7" ht="15" customHeight="1" x14ac:dyDescent="0.2">
      <c r="A5" s="341" t="s">
        <v>548</v>
      </c>
      <c r="B5" s="342"/>
      <c r="C5" s="342"/>
      <c r="D5" s="342"/>
      <c r="E5" s="342"/>
      <c r="F5" s="343"/>
    </row>
    <row r="6" spans="1:7" ht="15.75" x14ac:dyDescent="0.2">
      <c r="A6" s="134"/>
      <c r="B6" s="353"/>
      <c r="C6" s="353"/>
      <c r="D6" s="353"/>
      <c r="E6" s="353"/>
      <c r="F6" s="354"/>
      <c r="G6" s="66"/>
    </row>
    <row r="7" spans="1:7" ht="15.75" customHeight="1" x14ac:dyDescent="0.2">
      <c r="A7" s="146"/>
      <c r="B7" s="355" t="s">
        <v>171</v>
      </c>
      <c r="C7" s="355"/>
      <c r="D7" s="355"/>
      <c r="E7" s="355"/>
      <c r="F7" s="356"/>
      <c r="G7" s="35"/>
    </row>
    <row r="8" spans="1:7" ht="15" customHeight="1" x14ac:dyDescent="0.2">
      <c r="A8" s="111" t="s">
        <v>0</v>
      </c>
      <c r="B8" s="357" t="s">
        <v>181</v>
      </c>
      <c r="C8" s="357"/>
      <c r="D8" s="357"/>
      <c r="E8" s="16" t="s">
        <v>1</v>
      </c>
      <c r="F8" s="140" t="s">
        <v>2</v>
      </c>
      <c r="G8" s="36"/>
    </row>
    <row r="9" spans="1:7" x14ac:dyDescent="0.2">
      <c r="A9" s="126" t="s">
        <v>3</v>
      </c>
      <c r="B9" s="17"/>
      <c r="C9" s="17"/>
      <c r="D9" s="17" t="s">
        <v>4</v>
      </c>
      <c r="E9" s="17" t="s">
        <v>5</v>
      </c>
      <c r="F9" s="291">
        <v>309.07</v>
      </c>
      <c r="G9" s="67"/>
    </row>
    <row r="10" spans="1:7" x14ac:dyDescent="0.2">
      <c r="A10" s="126" t="s">
        <v>6</v>
      </c>
      <c r="B10" s="17"/>
      <c r="C10" s="17"/>
      <c r="D10" s="17" t="s">
        <v>319</v>
      </c>
      <c r="E10" s="17" t="s">
        <v>7</v>
      </c>
      <c r="F10" s="292">
        <f>F9/12</f>
        <v>25.755833333333332</v>
      </c>
      <c r="G10" s="68"/>
    </row>
    <row r="11" spans="1:7" x14ac:dyDescent="0.2">
      <c r="A11" s="126" t="s">
        <v>8</v>
      </c>
      <c r="B11" s="17"/>
      <c r="C11" s="17"/>
      <c r="D11" s="17" t="s">
        <v>318</v>
      </c>
      <c r="E11" s="17" t="s">
        <v>285</v>
      </c>
      <c r="F11" s="113">
        <f>365.25/12/7</f>
        <v>4.3482142857142856</v>
      </c>
      <c r="G11" s="18"/>
    </row>
    <row r="12" spans="1:7" x14ac:dyDescent="0.2">
      <c r="A12" s="126" t="s">
        <v>11</v>
      </c>
      <c r="B12" s="17"/>
      <c r="C12" s="17"/>
      <c r="D12" s="17" t="s">
        <v>9</v>
      </c>
      <c r="E12" s="17" t="s">
        <v>10</v>
      </c>
      <c r="F12" s="292">
        <v>60</v>
      </c>
      <c r="G12" s="68"/>
    </row>
    <row r="13" spans="1:7" x14ac:dyDescent="0.2">
      <c r="A13" s="126" t="s">
        <v>12</v>
      </c>
      <c r="B13" s="17"/>
      <c r="C13" s="17"/>
      <c r="D13" s="17" t="s">
        <v>219</v>
      </c>
      <c r="E13" s="17" t="s">
        <v>10</v>
      </c>
      <c r="F13" s="292">
        <v>160</v>
      </c>
      <c r="G13" s="68"/>
    </row>
    <row r="14" spans="1:7" x14ac:dyDescent="0.2">
      <c r="A14" s="126" t="s">
        <v>13</v>
      </c>
      <c r="B14" s="17"/>
      <c r="C14" s="17"/>
      <c r="D14" s="17" t="s">
        <v>220</v>
      </c>
      <c r="E14" s="17" t="s">
        <v>10</v>
      </c>
      <c r="F14" s="292">
        <v>180</v>
      </c>
      <c r="G14" s="68"/>
    </row>
    <row r="15" spans="1:7" x14ac:dyDescent="0.2">
      <c r="A15" s="126" t="s">
        <v>14</v>
      </c>
      <c r="B15" s="17"/>
      <c r="C15" s="17"/>
      <c r="D15" s="17" t="s">
        <v>221</v>
      </c>
      <c r="E15" s="17" t="s">
        <v>10</v>
      </c>
      <c r="F15" s="292">
        <f>Seco!F15/6</f>
        <v>26.5</v>
      </c>
      <c r="G15" s="68"/>
    </row>
    <row r="16" spans="1:7" x14ac:dyDescent="0.2">
      <c r="A16" s="126" t="s">
        <v>16</v>
      </c>
      <c r="B16" s="17"/>
      <c r="C16" s="17"/>
      <c r="D16" s="17" t="s">
        <v>223</v>
      </c>
      <c r="E16" s="17" t="s">
        <v>10</v>
      </c>
      <c r="F16" s="292">
        <v>227</v>
      </c>
      <c r="G16" s="68"/>
    </row>
    <row r="17" spans="1:7" x14ac:dyDescent="0.2">
      <c r="A17" s="126" t="s">
        <v>18</v>
      </c>
      <c r="B17" s="17"/>
      <c r="C17" s="17"/>
      <c r="D17" s="17" t="s">
        <v>234</v>
      </c>
      <c r="E17" s="17" t="s">
        <v>10</v>
      </c>
      <c r="F17" s="292">
        <v>15</v>
      </c>
      <c r="G17" s="68"/>
    </row>
    <row r="18" spans="1:7" x14ac:dyDescent="0.2">
      <c r="A18" s="126" t="s">
        <v>299</v>
      </c>
      <c r="B18" s="17"/>
      <c r="C18" s="17"/>
      <c r="D18" s="17" t="s">
        <v>523</v>
      </c>
      <c r="E18" s="17" t="s">
        <v>15</v>
      </c>
      <c r="F18" s="114"/>
      <c r="G18" s="69"/>
    </row>
    <row r="19" spans="1:7" x14ac:dyDescent="0.2">
      <c r="A19" s="126" t="s">
        <v>300</v>
      </c>
      <c r="B19" s="17"/>
      <c r="C19" s="17"/>
      <c r="D19" s="17" t="s">
        <v>204</v>
      </c>
      <c r="E19" s="17" t="s">
        <v>15</v>
      </c>
      <c r="F19" s="114"/>
      <c r="G19" s="69"/>
    </row>
    <row r="20" spans="1:7" x14ac:dyDescent="0.2">
      <c r="A20" s="126" t="s">
        <v>19</v>
      </c>
      <c r="B20" s="17"/>
      <c r="C20" s="17"/>
      <c r="D20" s="17" t="s">
        <v>174</v>
      </c>
      <c r="E20" s="17" t="s">
        <v>15</v>
      </c>
      <c r="F20" s="114"/>
      <c r="G20" s="69"/>
    </row>
    <row r="21" spans="1:7" x14ac:dyDescent="0.2">
      <c r="A21" s="126" t="s">
        <v>20</v>
      </c>
      <c r="B21" s="17"/>
      <c r="C21" s="17"/>
      <c r="D21" s="17" t="s">
        <v>225</v>
      </c>
      <c r="E21" s="17" t="s">
        <v>17</v>
      </c>
      <c r="F21" s="114"/>
      <c r="G21" s="69"/>
    </row>
    <row r="22" spans="1:7" x14ac:dyDescent="0.2">
      <c r="A22" s="126" t="s">
        <v>21</v>
      </c>
      <c r="B22" s="17"/>
      <c r="C22" s="17"/>
      <c r="D22" s="17" t="s">
        <v>226</v>
      </c>
      <c r="E22" s="17" t="s">
        <v>17</v>
      </c>
      <c r="F22" s="114"/>
      <c r="G22" s="69"/>
    </row>
    <row r="23" spans="1:7" x14ac:dyDescent="0.2">
      <c r="A23" s="126" t="s">
        <v>22</v>
      </c>
      <c r="B23" s="17"/>
      <c r="C23" s="17"/>
      <c r="D23" s="17" t="s">
        <v>227</v>
      </c>
      <c r="E23" s="17" t="s">
        <v>17</v>
      </c>
      <c r="F23" s="114"/>
      <c r="G23" s="69"/>
    </row>
    <row r="24" spans="1:7" x14ac:dyDescent="0.2">
      <c r="A24" s="126" t="s">
        <v>24</v>
      </c>
      <c r="B24" s="17"/>
      <c r="C24" s="17"/>
      <c r="D24" s="17" t="s">
        <v>172</v>
      </c>
      <c r="E24" s="17" t="s">
        <v>173</v>
      </c>
      <c r="F24" s="114"/>
      <c r="G24" s="69"/>
    </row>
    <row r="25" spans="1:7" x14ac:dyDescent="0.2">
      <c r="A25" s="126" t="s">
        <v>26</v>
      </c>
      <c r="B25" s="17"/>
      <c r="C25" s="17"/>
      <c r="D25" s="19" t="s">
        <v>270</v>
      </c>
      <c r="E25" s="17" t="s">
        <v>17</v>
      </c>
      <c r="F25" s="115"/>
      <c r="G25" s="69"/>
    </row>
    <row r="26" spans="1:7" x14ac:dyDescent="0.2">
      <c r="A26" s="126" t="s">
        <v>27</v>
      </c>
      <c r="B26" s="17"/>
      <c r="C26" s="17"/>
      <c r="D26" s="20" t="s">
        <v>271</v>
      </c>
      <c r="E26" s="17" t="s">
        <v>17</v>
      </c>
      <c r="F26" s="115"/>
      <c r="G26" s="69"/>
    </row>
    <row r="27" spans="1:7" x14ac:dyDescent="0.2">
      <c r="A27" s="126" t="s">
        <v>29</v>
      </c>
      <c r="B27" s="17"/>
      <c r="C27" s="17"/>
      <c r="D27" s="20" t="s">
        <v>272</v>
      </c>
      <c r="E27" s="17" t="s">
        <v>17</v>
      </c>
      <c r="F27" s="115"/>
      <c r="G27" s="69"/>
    </row>
    <row r="28" spans="1:7" x14ac:dyDescent="0.2">
      <c r="A28" s="126" t="s">
        <v>31</v>
      </c>
      <c r="B28" s="17"/>
      <c r="C28" s="17"/>
      <c r="D28" s="20" t="s">
        <v>230</v>
      </c>
      <c r="E28" s="17" t="s">
        <v>17</v>
      </c>
      <c r="F28" s="115"/>
      <c r="G28" s="69"/>
    </row>
    <row r="29" spans="1:7" x14ac:dyDescent="0.2">
      <c r="A29" s="126" t="s">
        <v>33</v>
      </c>
      <c r="B29" s="17"/>
      <c r="C29" s="17"/>
      <c r="D29" s="20" t="s">
        <v>23</v>
      </c>
      <c r="E29" s="17" t="s">
        <v>17</v>
      </c>
      <c r="F29" s="115"/>
      <c r="G29" s="69"/>
    </row>
    <row r="30" spans="1:7" x14ac:dyDescent="0.2">
      <c r="A30" s="126" t="s">
        <v>34</v>
      </c>
      <c r="B30" s="17"/>
      <c r="C30" s="17"/>
      <c r="D30" s="20" t="s">
        <v>25</v>
      </c>
      <c r="E30" s="17" t="s">
        <v>17</v>
      </c>
      <c r="F30" s="115"/>
      <c r="G30" s="69"/>
    </row>
    <row r="31" spans="1:7" x14ac:dyDescent="0.2">
      <c r="A31" s="126" t="s">
        <v>36</v>
      </c>
      <c r="B31" s="17"/>
      <c r="C31" s="17"/>
      <c r="D31" s="20" t="s">
        <v>524</v>
      </c>
      <c r="E31" s="17" t="s">
        <v>17</v>
      </c>
      <c r="F31" s="115"/>
      <c r="G31" s="69"/>
    </row>
    <row r="32" spans="1:7" x14ac:dyDescent="0.2">
      <c r="A32" s="126" t="s">
        <v>37</v>
      </c>
      <c r="B32" s="17"/>
      <c r="C32" s="17"/>
      <c r="D32" s="20" t="s">
        <v>28</v>
      </c>
      <c r="E32" s="17" t="s">
        <v>17</v>
      </c>
      <c r="F32" s="115"/>
      <c r="G32" s="69"/>
    </row>
    <row r="33" spans="1:13" x14ac:dyDescent="0.2">
      <c r="A33" s="126" t="s">
        <v>39</v>
      </c>
      <c r="B33" s="17"/>
      <c r="C33" s="17"/>
      <c r="D33" s="17" t="s">
        <v>522</v>
      </c>
      <c r="E33" s="17" t="s">
        <v>30</v>
      </c>
      <c r="F33" s="114"/>
      <c r="G33" s="69"/>
    </row>
    <row r="34" spans="1:13" x14ac:dyDescent="0.2">
      <c r="A34" s="126" t="s">
        <v>40</v>
      </c>
      <c r="B34" s="17"/>
      <c r="C34" s="17"/>
      <c r="D34" s="17" t="s">
        <v>32</v>
      </c>
      <c r="E34" s="17" t="s">
        <v>30</v>
      </c>
      <c r="F34" s="114"/>
      <c r="G34" s="69"/>
    </row>
    <row r="35" spans="1:13" x14ac:dyDescent="0.2">
      <c r="A35" s="126" t="s">
        <v>42</v>
      </c>
      <c r="B35" s="17"/>
      <c r="C35" s="17"/>
      <c r="D35" s="17" t="s">
        <v>276</v>
      </c>
      <c r="E35" s="17" t="s">
        <v>30</v>
      </c>
      <c r="F35" s="114"/>
      <c r="G35" s="69"/>
    </row>
    <row r="36" spans="1:13" x14ac:dyDescent="0.2">
      <c r="A36" s="126" t="s">
        <v>45</v>
      </c>
      <c r="B36" s="17"/>
      <c r="C36" s="17"/>
      <c r="D36" s="17" t="s">
        <v>35</v>
      </c>
      <c r="E36" s="17" t="s">
        <v>30</v>
      </c>
      <c r="F36" s="114"/>
      <c r="G36" s="69"/>
    </row>
    <row r="37" spans="1:13" x14ac:dyDescent="0.2">
      <c r="A37" s="126" t="s">
        <v>47</v>
      </c>
      <c r="B37" s="17"/>
      <c r="C37" s="17"/>
      <c r="D37" s="17" t="s">
        <v>202</v>
      </c>
      <c r="E37" s="17" t="s">
        <v>17</v>
      </c>
      <c r="F37" s="116"/>
      <c r="G37" s="70"/>
      <c r="M37" s="1" t="s">
        <v>298</v>
      </c>
    </row>
    <row r="38" spans="1:13" x14ac:dyDescent="0.2">
      <c r="A38" s="126" t="s">
        <v>48</v>
      </c>
      <c r="B38" s="17"/>
      <c r="C38" s="17"/>
      <c r="D38" s="17" t="s">
        <v>38</v>
      </c>
      <c r="E38" s="17" t="s">
        <v>17</v>
      </c>
      <c r="F38" s="116"/>
      <c r="G38" s="70"/>
    </row>
    <row r="39" spans="1:13" x14ac:dyDescent="0.2">
      <c r="A39" s="126" t="s">
        <v>49</v>
      </c>
      <c r="B39" s="17"/>
      <c r="C39" s="17"/>
      <c r="D39" s="17" t="s">
        <v>203</v>
      </c>
      <c r="E39" s="17" t="s">
        <v>17</v>
      </c>
      <c r="F39" s="116"/>
      <c r="G39" s="70"/>
    </row>
    <row r="40" spans="1:13" x14ac:dyDescent="0.2">
      <c r="A40" s="126" t="s">
        <v>297</v>
      </c>
      <c r="B40" s="17"/>
      <c r="C40" s="17"/>
      <c r="D40" s="17" t="s">
        <v>184</v>
      </c>
      <c r="E40" s="17" t="s">
        <v>185</v>
      </c>
      <c r="F40" s="116"/>
      <c r="G40" s="70"/>
    </row>
    <row r="41" spans="1:13" x14ac:dyDescent="0.2">
      <c r="A41" s="126" t="s">
        <v>301</v>
      </c>
      <c r="B41" s="17"/>
      <c r="C41" s="17"/>
      <c r="D41" s="17" t="s">
        <v>41</v>
      </c>
      <c r="E41" s="17" t="s">
        <v>17</v>
      </c>
      <c r="F41" s="116"/>
      <c r="G41" s="70"/>
    </row>
    <row r="42" spans="1:13" x14ac:dyDescent="0.2">
      <c r="A42" s="126" t="s">
        <v>302</v>
      </c>
      <c r="B42" s="17"/>
      <c r="C42" s="17"/>
      <c r="D42" s="17" t="s">
        <v>43</v>
      </c>
      <c r="E42" s="17" t="s">
        <v>44</v>
      </c>
      <c r="F42" s="137"/>
      <c r="G42" s="57"/>
    </row>
    <row r="43" spans="1:13" x14ac:dyDescent="0.2">
      <c r="A43" s="126" t="s">
        <v>303</v>
      </c>
      <c r="B43" s="17"/>
      <c r="C43" s="17"/>
      <c r="D43" s="17" t="s">
        <v>205</v>
      </c>
      <c r="E43" s="17" t="s">
        <v>46</v>
      </c>
      <c r="F43" s="116"/>
      <c r="G43" s="70"/>
    </row>
    <row r="44" spans="1:13" x14ac:dyDescent="0.2">
      <c r="A44" s="126" t="s">
        <v>304</v>
      </c>
      <c r="B44" s="17"/>
      <c r="C44" s="17"/>
      <c r="D44" s="17" t="s">
        <v>206</v>
      </c>
      <c r="E44" s="17" t="s">
        <v>46</v>
      </c>
      <c r="F44" s="116"/>
      <c r="G44" s="70"/>
    </row>
    <row r="45" spans="1:13" x14ac:dyDescent="0.2">
      <c r="A45" s="126" t="s">
        <v>305</v>
      </c>
      <c r="B45" s="17"/>
      <c r="C45" s="17"/>
      <c r="D45" s="17" t="s">
        <v>177</v>
      </c>
      <c r="E45" s="17" t="s">
        <v>46</v>
      </c>
      <c r="F45" s="116"/>
      <c r="G45" s="70"/>
    </row>
    <row r="46" spans="1:13" x14ac:dyDescent="0.2">
      <c r="A46" s="126" t="s">
        <v>306</v>
      </c>
      <c r="B46" s="17"/>
      <c r="C46" s="17"/>
      <c r="D46" s="17" t="s">
        <v>320</v>
      </c>
      <c r="E46" s="17" t="s">
        <v>46</v>
      </c>
      <c r="F46" s="116"/>
      <c r="G46" s="71"/>
    </row>
    <row r="47" spans="1:13" x14ac:dyDescent="0.2">
      <c r="A47" s="126" t="s">
        <v>307</v>
      </c>
      <c r="B47" s="17"/>
      <c r="C47" s="17"/>
      <c r="D47" s="17" t="s">
        <v>321</v>
      </c>
      <c r="E47" s="17" t="s">
        <v>46</v>
      </c>
      <c r="F47" s="116"/>
      <c r="G47" s="71"/>
    </row>
    <row r="48" spans="1:13" x14ac:dyDescent="0.2">
      <c r="A48" s="126" t="s">
        <v>308</v>
      </c>
      <c r="B48" s="17"/>
      <c r="C48" s="17"/>
      <c r="D48" s="20" t="s">
        <v>322</v>
      </c>
      <c r="E48" s="17" t="s">
        <v>46</v>
      </c>
      <c r="F48" s="293"/>
      <c r="G48" s="72"/>
    </row>
    <row r="49" spans="1:10" x14ac:dyDescent="0.2">
      <c r="A49" s="126" t="s">
        <v>309</v>
      </c>
      <c r="B49" s="17"/>
      <c r="C49" s="17"/>
      <c r="D49" s="20" t="s">
        <v>323</v>
      </c>
      <c r="E49" s="17" t="s">
        <v>46</v>
      </c>
      <c r="F49" s="308"/>
      <c r="G49" s="73"/>
    </row>
    <row r="50" spans="1:10" x14ac:dyDescent="0.2">
      <c r="A50" s="126" t="s">
        <v>310</v>
      </c>
      <c r="B50" s="21"/>
      <c r="C50" s="21"/>
      <c r="D50" s="21" t="s">
        <v>50</v>
      </c>
      <c r="E50" s="21" t="s">
        <v>51</v>
      </c>
      <c r="F50" s="307">
        <v>1317</v>
      </c>
      <c r="G50" s="74"/>
      <c r="I50" s="13"/>
      <c r="J50" s="13"/>
    </row>
    <row r="51" spans="1:10" x14ac:dyDescent="0.2">
      <c r="A51" s="117"/>
      <c r="B51" s="22"/>
      <c r="C51" s="22"/>
      <c r="D51" s="23"/>
      <c r="E51" s="23"/>
      <c r="F51" s="118"/>
      <c r="G51" s="75"/>
    </row>
    <row r="52" spans="1:10" x14ac:dyDescent="0.2">
      <c r="A52" s="129" t="s">
        <v>52</v>
      </c>
      <c r="B52" s="24" t="s">
        <v>53</v>
      </c>
      <c r="C52" s="24"/>
      <c r="D52" s="61"/>
      <c r="E52" s="16" t="s">
        <v>1</v>
      </c>
      <c r="F52" s="140" t="s">
        <v>2</v>
      </c>
      <c r="G52" s="36"/>
    </row>
    <row r="53" spans="1:10" x14ac:dyDescent="0.2">
      <c r="A53" s="121" t="s">
        <v>54</v>
      </c>
      <c r="B53" s="25" t="s">
        <v>239</v>
      </c>
      <c r="C53" s="25"/>
      <c r="D53" s="53"/>
      <c r="E53" s="26"/>
      <c r="F53" s="135"/>
      <c r="G53" s="36"/>
    </row>
    <row r="54" spans="1:10" x14ac:dyDescent="0.2">
      <c r="A54" s="126" t="s">
        <v>57</v>
      </c>
      <c r="B54" s="17"/>
      <c r="C54" s="17"/>
      <c r="D54" s="17" t="s">
        <v>55</v>
      </c>
      <c r="E54" s="17" t="s">
        <v>56</v>
      </c>
      <c r="F54" s="291">
        <v>4</v>
      </c>
      <c r="G54" s="67"/>
    </row>
    <row r="55" spans="1:10" x14ac:dyDescent="0.2">
      <c r="A55" s="126" t="s">
        <v>59</v>
      </c>
      <c r="B55" s="17"/>
      <c r="C55" s="17"/>
      <c r="D55" s="17" t="s">
        <v>58</v>
      </c>
      <c r="E55" s="17" t="s">
        <v>56</v>
      </c>
      <c r="F55" s="291">
        <v>3</v>
      </c>
      <c r="G55" s="67"/>
    </row>
    <row r="56" spans="1:10" x14ac:dyDescent="0.2">
      <c r="A56" s="126" t="s">
        <v>61</v>
      </c>
      <c r="B56" s="17"/>
      <c r="C56" s="17"/>
      <c r="D56" s="17" t="s">
        <v>60</v>
      </c>
      <c r="E56" s="17" t="s">
        <v>56</v>
      </c>
      <c r="F56" s="291">
        <v>0</v>
      </c>
      <c r="G56" s="67"/>
    </row>
    <row r="57" spans="1:10" x14ac:dyDescent="0.2">
      <c r="A57" s="121" t="s">
        <v>209</v>
      </c>
      <c r="B57" s="25"/>
      <c r="C57" s="25"/>
      <c r="D57" s="25" t="s">
        <v>207</v>
      </c>
      <c r="E57" s="25" t="s">
        <v>56</v>
      </c>
      <c r="F57" s="123">
        <v>4</v>
      </c>
      <c r="G57" s="76"/>
    </row>
    <row r="58" spans="1:10" x14ac:dyDescent="0.2">
      <c r="A58" s="121" t="s">
        <v>210</v>
      </c>
      <c r="B58" s="25" t="s">
        <v>238</v>
      </c>
      <c r="C58" s="25"/>
      <c r="D58" s="25"/>
      <c r="E58" s="25"/>
      <c r="F58" s="123"/>
      <c r="G58" s="76"/>
    </row>
    <row r="59" spans="1:10" x14ac:dyDescent="0.2">
      <c r="A59" s="126" t="s">
        <v>311</v>
      </c>
      <c r="B59" s="17"/>
      <c r="C59" s="17"/>
      <c r="D59" s="17" t="s">
        <v>208</v>
      </c>
      <c r="E59" s="17" t="s">
        <v>56</v>
      </c>
      <c r="F59" s="124">
        <v>1</v>
      </c>
      <c r="G59" s="77"/>
    </row>
    <row r="60" spans="1:10" x14ac:dyDescent="0.2">
      <c r="A60" s="121" t="s">
        <v>312</v>
      </c>
      <c r="B60" s="25"/>
      <c r="C60" s="25"/>
      <c r="D60" s="25" t="s">
        <v>207</v>
      </c>
      <c r="E60" s="25" t="s">
        <v>56</v>
      </c>
      <c r="F60" s="123">
        <v>1</v>
      </c>
      <c r="G60" s="76"/>
    </row>
    <row r="61" spans="1:10" x14ac:dyDescent="0.2">
      <c r="A61" s="294" t="s">
        <v>313</v>
      </c>
      <c r="B61" s="27" t="s">
        <v>211</v>
      </c>
      <c r="C61" s="27"/>
      <c r="D61" s="54"/>
      <c r="E61" s="27" t="s">
        <v>56</v>
      </c>
      <c r="F61" s="295">
        <f>F60+F57</f>
        <v>5</v>
      </c>
      <c r="G61" s="76"/>
    </row>
    <row r="62" spans="1:10" x14ac:dyDescent="0.2">
      <c r="A62" s="134"/>
      <c r="B62" s="20"/>
      <c r="C62" s="20"/>
      <c r="D62" s="20"/>
      <c r="E62" s="20"/>
      <c r="F62" s="296"/>
      <c r="G62" s="78"/>
    </row>
    <row r="63" spans="1:10" x14ac:dyDescent="0.2">
      <c r="A63" s="119" t="s">
        <v>194</v>
      </c>
      <c r="B63" s="28" t="s">
        <v>186</v>
      </c>
      <c r="C63" s="28"/>
      <c r="D63" s="62"/>
      <c r="E63" s="29" t="s">
        <v>1</v>
      </c>
      <c r="F63" s="145" t="s">
        <v>2</v>
      </c>
      <c r="G63" s="36"/>
    </row>
    <row r="64" spans="1:10" x14ac:dyDescent="0.2">
      <c r="A64" s="112" t="s">
        <v>195</v>
      </c>
      <c r="B64" s="19"/>
      <c r="C64" s="19"/>
      <c r="D64" s="19" t="s">
        <v>187</v>
      </c>
      <c r="E64" s="19" t="s">
        <v>193</v>
      </c>
      <c r="F64" s="127">
        <v>4</v>
      </c>
      <c r="G64" s="79"/>
    </row>
    <row r="65" spans="1:9" x14ac:dyDescent="0.2">
      <c r="A65" s="112" t="s">
        <v>196</v>
      </c>
      <c r="B65" s="19"/>
      <c r="C65" s="19"/>
      <c r="D65" s="19" t="s">
        <v>188</v>
      </c>
      <c r="E65" s="19" t="s">
        <v>193</v>
      </c>
      <c r="F65" s="127">
        <v>3</v>
      </c>
      <c r="G65" s="79"/>
    </row>
    <row r="66" spans="1:9" x14ac:dyDescent="0.2">
      <c r="A66" s="112" t="s">
        <v>197</v>
      </c>
      <c r="B66" s="19"/>
      <c r="C66" s="19"/>
      <c r="D66" s="19" t="s">
        <v>189</v>
      </c>
      <c r="E66" s="19" t="s">
        <v>193</v>
      </c>
      <c r="F66" s="127">
        <v>12</v>
      </c>
      <c r="G66" s="79"/>
      <c r="I66" s="15"/>
    </row>
    <row r="67" spans="1:9" x14ac:dyDescent="0.2">
      <c r="A67" s="112" t="s">
        <v>198</v>
      </c>
      <c r="B67" s="19"/>
      <c r="C67" s="19"/>
      <c r="D67" s="19" t="s">
        <v>190</v>
      </c>
      <c r="E67" s="19" t="s">
        <v>193</v>
      </c>
      <c r="F67" s="127">
        <v>9</v>
      </c>
      <c r="G67" s="79"/>
    </row>
    <row r="68" spans="1:9" x14ac:dyDescent="0.2">
      <c r="A68" s="112" t="s">
        <v>199</v>
      </c>
      <c r="B68" s="19"/>
      <c r="C68" s="19"/>
      <c r="D68" s="19" t="s">
        <v>191</v>
      </c>
      <c r="E68" s="19" t="s">
        <v>193</v>
      </c>
      <c r="F68" s="127">
        <v>1</v>
      </c>
      <c r="G68" s="79"/>
    </row>
    <row r="69" spans="1:9" x14ac:dyDescent="0.2">
      <c r="A69" s="112" t="s">
        <v>200</v>
      </c>
      <c r="B69" s="19"/>
      <c r="C69" s="19"/>
      <c r="D69" s="19" t="s">
        <v>192</v>
      </c>
      <c r="E69" s="19" t="s">
        <v>193</v>
      </c>
      <c r="F69" s="127">
        <v>1</v>
      </c>
      <c r="G69" s="79"/>
    </row>
    <row r="70" spans="1:9" x14ac:dyDescent="0.2">
      <c r="A70" s="297" t="s">
        <v>201</v>
      </c>
      <c r="B70" s="27" t="s">
        <v>243</v>
      </c>
      <c r="C70" s="30"/>
      <c r="D70" s="54"/>
      <c r="E70" s="30" t="s">
        <v>193</v>
      </c>
      <c r="F70" s="298">
        <f>SUM(F64:F69)</f>
        <v>30</v>
      </c>
      <c r="G70" s="80"/>
    </row>
    <row r="71" spans="1:9" x14ac:dyDescent="0.2">
      <c r="A71" s="117"/>
      <c r="B71" s="22"/>
      <c r="C71" s="22"/>
      <c r="D71" s="23"/>
      <c r="E71" s="23"/>
      <c r="F71" s="118"/>
      <c r="G71" s="75"/>
    </row>
    <row r="72" spans="1:9" x14ac:dyDescent="0.2">
      <c r="A72" s="119" t="s">
        <v>62</v>
      </c>
      <c r="B72" s="31" t="s">
        <v>63</v>
      </c>
      <c r="C72" s="32"/>
      <c r="D72" s="299"/>
      <c r="E72" s="29" t="s">
        <v>1</v>
      </c>
      <c r="F72" s="145" t="s">
        <v>2</v>
      </c>
      <c r="G72" s="36"/>
    </row>
    <row r="73" spans="1:9" x14ac:dyDescent="0.2">
      <c r="A73" s="121" t="s">
        <v>64</v>
      </c>
      <c r="B73" s="25" t="s">
        <v>241</v>
      </c>
      <c r="C73" s="25"/>
      <c r="D73" s="46"/>
      <c r="E73" s="26"/>
      <c r="F73" s="135"/>
      <c r="G73" s="36"/>
    </row>
    <row r="74" spans="1:9" x14ac:dyDescent="0.2">
      <c r="A74" s="126" t="s">
        <v>66</v>
      </c>
      <c r="B74" s="19"/>
      <c r="C74" s="19"/>
      <c r="D74" s="19" t="s">
        <v>248</v>
      </c>
      <c r="E74" s="19" t="s">
        <v>65</v>
      </c>
      <c r="F74" s="376">
        <f>F12*F10</f>
        <v>1545.35</v>
      </c>
      <c r="G74" s="81"/>
    </row>
    <row r="75" spans="1:9" x14ac:dyDescent="0.2">
      <c r="A75" s="126" t="s">
        <v>67</v>
      </c>
      <c r="B75" s="19"/>
      <c r="C75" s="19"/>
      <c r="D75" s="19" t="s">
        <v>249</v>
      </c>
      <c r="E75" s="19" t="s">
        <v>65</v>
      </c>
      <c r="F75" s="376">
        <f>F13*F10/2</f>
        <v>2060.4666666666667</v>
      </c>
      <c r="G75" s="81"/>
    </row>
    <row r="76" spans="1:9" x14ac:dyDescent="0.2">
      <c r="A76" s="126" t="s">
        <v>68</v>
      </c>
      <c r="B76" s="19"/>
      <c r="C76" s="19"/>
      <c r="D76" s="19" t="s">
        <v>250</v>
      </c>
      <c r="E76" s="19" t="s">
        <v>65</v>
      </c>
      <c r="F76" s="376">
        <f>F14*F10/2</f>
        <v>2318.0249999999996</v>
      </c>
      <c r="G76" s="81"/>
    </row>
    <row r="77" spans="1:9" x14ac:dyDescent="0.2">
      <c r="A77" s="126" t="s">
        <v>69</v>
      </c>
      <c r="B77" s="19"/>
      <c r="C77" s="19"/>
      <c r="D77" s="19" t="s">
        <v>224</v>
      </c>
      <c r="E77" s="19" t="s">
        <v>65</v>
      </c>
      <c r="F77" s="376">
        <f>F15*F10</f>
        <v>682.52958333333333</v>
      </c>
      <c r="G77" s="81"/>
    </row>
    <row r="78" spans="1:9" x14ac:dyDescent="0.2">
      <c r="A78" s="126" t="s">
        <v>213</v>
      </c>
      <c r="B78" s="19"/>
      <c r="C78" s="19"/>
      <c r="D78" s="19" t="s">
        <v>251</v>
      </c>
      <c r="E78" s="19" t="s">
        <v>65</v>
      </c>
      <c r="F78" s="376">
        <f>F16*F10</f>
        <v>5846.5741666666663</v>
      </c>
      <c r="G78" s="81"/>
    </row>
    <row r="79" spans="1:9" x14ac:dyDescent="0.2">
      <c r="A79" s="121" t="s">
        <v>214</v>
      </c>
      <c r="B79" s="19"/>
      <c r="C79" s="19"/>
      <c r="D79" s="25" t="s">
        <v>296</v>
      </c>
      <c r="E79" s="33" t="s">
        <v>65</v>
      </c>
      <c r="F79" s="377">
        <f>SUM(F74:F78)</f>
        <v>12452.945416666666</v>
      </c>
      <c r="G79" s="82"/>
    </row>
    <row r="80" spans="1:9" x14ac:dyDescent="0.2">
      <c r="A80" s="121" t="s">
        <v>314</v>
      </c>
      <c r="B80" s="33" t="s">
        <v>242</v>
      </c>
      <c r="C80" s="33"/>
      <c r="D80" s="25"/>
      <c r="E80" s="33"/>
      <c r="F80" s="377"/>
      <c r="G80" s="82"/>
    </row>
    <row r="81" spans="1:12" x14ac:dyDescent="0.2">
      <c r="A81" s="126" t="s">
        <v>315</v>
      </c>
      <c r="B81" s="19"/>
      <c r="C81" s="19"/>
      <c r="D81" s="17" t="s">
        <v>215</v>
      </c>
      <c r="E81" s="33" t="s">
        <v>65</v>
      </c>
      <c r="F81" s="378">
        <f>F10*F17</f>
        <v>386.33749999999998</v>
      </c>
      <c r="G81" s="81"/>
    </row>
    <row r="82" spans="1:12" x14ac:dyDescent="0.2">
      <c r="A82" s="121" t="s">
        <v>316</v>
      </c>
      <c r="B82" s="19"/>
      <c r="C82" s="19"/>
      <c r="D82" s="25" t="s">
        <v>291</v>
      </c>
      <c r="E82" s="33" t="s">
        <v>65</v>
      </c>
      <c r="F82" s="377">
        <f>SUM(F81)</f>
        <v>386.33749999999998</v>
      </c>
      <c r="G82" s="82"/>
    </row>
    <row r="83" spans="1:12" x14ac:dyDescent="0.2">
      <c r="A83" s="294" t="s">
        <v>317</v>
      </c>
      <c r="B83" s="27" t="s">
        <v>216</v>
      </c>
      <c r="C83" s="30"/>
      <c r="D83" s="54"/>
      <c r="E83" s="30" t="s">
        <v>65</v>
      </c>
      <c r="F83" s="379">
        <f>F82+F79</f>
        <v>12839.282916666665</v>
      </c>
      <c r="G83" s="82"/>
    </row>
    <row r="84" spans="1:12" x14ac:dyDescent="0.2">
      <c r="A84" s="117"/>
      <c r="B84" s="22"/>
      <c r="C84" s="22"/>
      <c r="D84" s="23"/>
      <c r="E84" s="23"/>
      <c r="F84" s="118"/>
      <c r="G84" s="75"/>
    </row>
    <row r="85" spans="1:12" x14ac:dyDescent="0.2">
      <c r="A85" s="129">
        <v>1</v>
      </c>
      <c r="B85" s="24" t="s">
        <v>70</v>
      </c>
      <c r="C85" s="24"/>
      <c r="D85" s="61"/>
      <c r="E85" s="16" t="s">
        <v>1</v>
      </c>
      <c r="F85" s="140" t="s">
        <v>2</v>
      </c>
      <c r="G85" s="36"/>
    </row>
    <row r="86" spans="1:12" x14ac:dyDescent="0.2">
      <c r="A86" s="130"/>
      <c r="B86" s="34" t="s">
        <v>212</v>
      </c>
      <c r="C86" s="34"/>
      <c r="D86" s="45"/>
      <c r="E86" s="35"/>
      <c r="F86" s="300"/>
      <c r="G86" s="36"/>
    </row>
    <row r="87" spans="1:12" x14ac:dyDescent="0.2">
      <c r="A87" s="121" t="s">
        <v>71</v>
      </c>
      <c r="B87" s="25"/>
      <c r="C87" s="25" t="s">
        <v>217</v>
      </c>
      <c r="D87" s="20"/>
      <c r="E87" s="17"/>
      <c r="F87" s="378"/>
      <c r="G87" s="81"/>
    </row>
    <row r="88" spans="1:12" x14ac:dyDescent="0.2">
      <c r="A88" s="126" t="s">
        <v>72</v>
      </c>
      <c r="B88" s="19"/>
      <c r="C88" s="19"/>
      <c r="D88" s="17" t="s">
        <v>73</v>
      </c>
      <c r="E88" s="17" t="s">
        <v>74</v>
      </c>
      <c r="F88" s="132"/>
      <c r="G88" s="83"/>
    </row>
    <row r="89" spans="1:12" x14ac:dyDescent="0.2">
      <c r="A89" s="121" t="s">
        <v>75</v>
      </c>
      <c r="B89" s="37"/>
      <c r="C89" s="37"/>
      <c r="D89" s="37" t="s">
        <v>324</v>
      </c>
      <c r="E89" s="37" t="s">
        <v>30</v>
      </c>
      <c r="F89" s="381">
        <f>((F79*F88*F18))</f>
        <v>0</v>
      </c>
      <c r="G89" s="84"/>
    </row>
    <row r="90" spans="1:12" x14ac:dyDescent="0.2">
      <c r="A90" s="131" t="s">
        <v>76</v>
      </c>
      <c r="B90" s="38"/>
      <c r="C90" s="39" t="s">
        <v>175</v>
      </c>
      <c r="D90" s="20"/>
      <c r="E90" s="40"/>
      <c r="F90" s="382"/>
      <c r="G90" s="81"/>
      <c r="H90" s="4"/>
      <c r="I90" s="4"/>
      <c r="J90" s="4"/>
      <c r="K90" s="8"/>
    </row>
    <row r="91" spans="1:12" x14ac:dyDescent="0.2">
      <c r="A91" s="112" t="s">
        <v>78</v>
      </c>
      <c r="B91" s="19"/>
      <c r="C91" s="19"/>
      <c r="D91" s="17" t="s">
        <v>176</v>
      </c>
      <c r="E91" s="17" t="s">
        <v>74</v>
      </c>
      <c r="F91" s="380">
        <f>F88*0.05</f>
        <v>0</v>
      </c>
      <c r="G91" s="83"/>
      <c r="H91" s="4"/>
      <c r="I91" s="3"/>
      <c r="J91" s="3"/>
      <c r="K91" s="9"/>
    </row>
    <row r="92" spans="1:12" x14ac:dyDescent="0.2">
      <c r="A92" s="128" t="s">
        <v>79</v>
      </c>
      <c r="B92" s="37"/>
      <c r="C92" s="37"/>
      <c r="D92" s="37" t="s">
        <v>325</v>
      </c>
      <c r="E92" s="37" t="s">
        <v>30</v>
      </c>
      <c r="F92" s="381">
        <f>((F79*F91*F20))</f>
        <v>0</v>
      </c>
      <c r="G92" s="84"/>
      <c r="H92" s="4"/>
      <c r="I92" s="4"/>
      <c r="J92" s="4"/>
      <c r="K92" s="8"/>
      <c r="L92" s="10"/>
    </row>
    <row r="93" spans="1:12" x14ac:dyDescent="0.2">
      <c r="A93" s="121" t="s">
        <v>80</v>
      </c>
      <c r="B93" s="39"/>
      <c r="C93" s="39" t="s">
        <v>77</v>
      </c>
      <c r="D93" s="20"/>
      <c r="E93" s="40"/>
      <c r="F93" s="382"/>
      <c r="G93" s="81"/>
    </row>
    <row r="94" spans="1:12" x14ac:dyDescent="0.2">
      <c r="A94" s="126" t="s">
        <v>82</v>
      </c>
      <c r="B94" s="17"/>
      <c r="C94" s="17"/>
      <c r="D94" s="17" t="s">
        <v>182</v>
      </c>
      <c r="E94" s="17" t="s">
        <v>183</v>
      </c>
      <c r="F94" s="383">
        <f>F18*0.05</f>
        <v>0</v>
      </c>
      <c r="G94" s="85"/>
      <c r="H94" s="7"/>
      <c r="I94" s="2"/>
    </row>
    <row r="95" spans="1:12" x14ac:dyDescent="0.2">
      <c r="A95" s="133" t="s">
        <v>84</v>
      </c>
      <c r="B95" s="41"/>
      <c r="C95" s="41"/>
      <c r="D95" s="37" t="s">
        <v>326</v>
      </c>
      <c r="E95" s="37" t="s">
        <v>30</v>
      </c>
      <c r="F95" s="384">
        <f>F79*F94</f>
        <v>0</v>
      </c>
      <c r="G95" s="86"/>
    </row>
    <row r="96" spans="1:12" x14ac:dyDescent="0.2">
      <c r="A96" s="120" t="s">
        <v>86</v>
      </c>
      <c r="B96" s="39"/>
      <c r="C96" s="39" t="s">
        <v>81</v>
      </c>
      <c r="D96" s="20"/>
      <c r="E96" s="40"/>
      <c r="F96" s="382"/>
      <c r="G96" s="81"/>
      <c r="H96" s="2"/>
    </row>
    <row r="97" spans="1:9" x14ac:dyDescent="0.2">
      <c r="A97" s="126" t="s">
        <v>87</v>
      </c>
      <c r="B97" s="17"/>
      <c r="C97" s="17"/>
      <c r="D97" s="17" t="s">
        <v>327</v>
      </c>
      <c r="E97" s="17" t="s">
        <v>83</v>
      </c>
      <c r="F97" s="385">
        <f>F21*6</f>
        <v>0</v>
      </c>
      <c r="G97" s="87"/>
    </row>
    <row r="98" spans="1:9" x14ac:dyDescent="0.2">
      <c r="A98" s="126" t="s">
        <v>90</v>
      </c>
      <c r="B98" s="17"/>
      <c r="C98" s="17"/>
      <c r="D98" s="17" t="s">
        <v>328</v>
      </c>
      <c r="E98" s="17" t="s">
        <v>83</v>
      </c>
      <c r="F98" s="385">
        <f>F22*6*2</f>
        <v>0</v>
      </c>
      <c r="G98" s="87"/>
      <c r="H98" s="2"/>
    </row>
    <row r="99" spans="1:9" x14ac:dyDescent="0.2">
      <c r="A99" s="126" t="s">
        <v>91</v>
      </c>
      <c r="B99" s="17"/>
      <c r="C99" s="17"/>
      <c r="D99" s="17" t="s">
        <v>180</v>
      </c>
      <c r="E99" s="17" t="s">
        <v>85</v>
      </c>
      <c r="F99" s="309"/>
      <c r="G99" s="81"/>
    </row>
    <row r="100" spans="1:9" x14ac:dyDescent="0.2">
      <c r="A100" s="121" t="s">
        <v>93</v>
      </c>
      <c r="B100" s="37"/>
      <c r="C100" s="37"/>
      <c r="D100" s="37" t="s">
        <v>329</v>
      </c>
      <c r="E100" s="37" t="s">
        <v>30</v>
      </c>
      <c r="F100" s="384" t="e">
        <f>SUM(F97:F98)/F99*F79</f>
        <v>#DIV/0!</v>
      </c>
      <c r="G100" s="86"/>
    </row>
    <row r="101" spans="1:9" x14ac:dyDescent="0.2">
      <c r="A101" s="131" t="s">
        <v>94</v>
      </c>
      <c r="B101" s="38"/>
      <c r="C101" s="39" t="s">
        <v>178</v>
      </c>
      <c r="D101" s="20"/>
      <c r="E101" s="40"/>
      <c r="F101" s="382"/>
      <c r="G101" s="81"/>
    </row>
    <row r="102" spans="1:9" x14ac:dyDescent="0.2">
      <c r="A102" s="122" t="s">
        <v>96</v>
      </c>
      <c r="B102" s="33"/>
      <c r="C102" s="25"/>
      <c r="D102" s="33" t="s">
        <v>103</v>
      </c>
      <c r="E102" s="17"/>
      <c r="F102" s="378"/>
      <c r="G102" s="81"/>
    </row>
    <row r="103" spans="1:9" x14ac:dyDescent="0.2">
      <c r="A103" s="126" t="s">
        <v>337</v>
      </c>
      <c r="B103" s="17"/>
      <c r="C103" s="17"/>
      <c r="D103" s="17" t="s">
        <v>88</v>
      </c>
      <c r="E103" s="17" t="s">
        <v>89</v>
      </c>
      <c r="F103" s="137"/>
      <c r="G103" s="88"/>
      <c r="I103" s="13"/>
    </row>
    <row r="104" spans="1:9" x14ac:dyDescent="0.2">
      <c r="A104" s="112" t="s">
        <v>338</v>
      </c>
      <c r="B104" s="17"/>
      <c r="C104" s="17"/>
      <c r="D104" s="17" t="s">
        <v>333</v>
      </c>
      <c r="E104" s="17" t="s">
        <v>30</v>
      </c>
      <c r="F104" s="385">
        <f>(F37-6*F21)*F57*F103</f>
        <v>0</v>
      </c>
      <c r="G104" s="87"/>
    </row>
    <row r="105" spans="1:9" x14ac:dyDescent="0.2">
      <c r="A105" s="121" t="s">
        <v>99</v>
      </c>
      <c r="B105" s="25"/>
      <c r="C105" s="25"/>
      <c r="D105" s="25" t="s">
        <v>108</v>
      </c>
      <c r="E105" s="17"/>
      <c r="F105" s="385"/>
      <c r="G105" s="87"/>
    </row>
    <row r="106" spans="1:9" x14ac:dyDescent="0.2">
      <c r="A106" s="112" t="s">
        <v>339</v>
      </c>
      <c r="B106" s="17"/>
      <c r="C106" s="17"/>
      <c r="D106" s="17" t="s">
        <v>92</v>
      </c>
      <c r="E106" s="17" t="s">
        <v>89</v>
      </c>
      <c r="F106" s="138"/>
      <c r="G106" s="89"/>
    </row>
    <row r="107" spans="1:9" x14ac:dyDescent="0.2">
      <c r="A107" s="126" t="s">
        <v>340</v>
      </c>
      <c r="B107" s="17"/>
      <c r="C107" s="17"/>
      <c r="D107" s="17" t="s">
        <v>334</v>
      </c>
      <c r="E107" s="17" t="s">
        <v>30</v>
      </c>
      <c r="F107" s="386">
        <f>F38*F57*F106</f>
        <v>0</v>
      </c>
      <c r="G107" s="90"/>
    </row>
    <row r="108" spans="1:9" x14ac:dyDescent="0.2">
      <c r="A108" s="122" t="s">
        <v>330</v>
      </c>
      <c r="B108" s="37"/>
      <c r="C108" s="37"/>
      <c r="D108" s="37" t="s">
        <v>335</v>
      </c>
      <c r="E108" s="37" t="s">
        <v>30</v>
      </c>
      <c r="F108" s="384">
        <f>F104+F107</f>
        <v>0</v>
      </c>
      <c r="G108" s="86"/>
    </row>
    <row r="109" spans="1:9" x14ac:dyDescent="0.2">
      <c r="A109" s="120" t="s">
        <v>100</v>
      </c>
      <c r="B109" s="39"/>
      <c r="C109" s="42" t="s">
        <v>101</v>
      </c>
      <c r="D109" s="20"/>
      <c r="E109" s="42"/>
      <c r="F109" s="387"/>
      <c r="G109" s="91"/>
    </row>
    <row r="110" spans="1:9" x14ac:dyDescent="0.2">
      <c r="A110" s="122" t="s">
        <v>102</v>
      </c>
      <c r="B110" s="33"/>
      <c r="C110" s="33"/>
      <c r="D110" s="33" t="s">
        <v>103</v>
      </c>
      <c r="E110" s="19"/>
      <c r="F110" s="376"/>
      <c r="G110" s="81"/>
    </row>
    <row r="111" spans="1:9" x14ac:dyDescent="0.2">
      <c r="A111" s="126" t="s">
        <v>104</v>
      </c>
      <c r="B111" s="17"/>
      <c r="C111" s="17"/>
      <c r="D111" s="17" t="s">
        <v>105</v>
      </c>
      <c r="E111" s="17" t="s">
        <v>89</v>
      </c>
      <c r="F111" s="138"/>
      <c r="G111" s="89"/>
    </row>
    <row r="112" spans="1:9" x14ac:dyDescent="0.2">
      <c r="A112" s="126" t="s">
        <v>106</v>
      </c>
      <c r="B112" s="17"/>
      <c r="C112" s="17"/>
      <c r="D112" s="17" t="s">
        <v>341</v>
      </c>
      <c r="E112" s="17" t="s">
        <v>30</v>
      </c>
      <c r="F112" s="385">
        <f>(F37-6*(F21))*F57*F111</f>
        <v>0</v>
      </c>
      <c r="G112" s="87"/>
    </row>
    <row r="113" spans="1:7" x14ac:dyDescent="0.2">
      <c r="A113" s="121" t="s">
        <v>107</v>
      </c>
      <c r="B113" s="25"/>
      <c r="C113" s="25"/>
      <c r="D113" s="25" t="s">
        <v>108</v>
      </c>
      <c r="E113" s="17"/>
      <c r="F113" s="385"/>
      <c r="G113" s="87"/>
    </row>
    <row r="114" spans="1:7" x14ac:dyDescent="0.2">
      <c r="A114" s="126" t="s">
        <v>109</v>
      </c>
      <c r="B114" s="17"/>
      <c r="C114" s="17"/>
      <c r="D114" s="17" t="s">
        <v>105</v>
      </c>
      <c r="E114" s="17" t="s">
        <v>89</v>
      </c>
      <c r="F114" s="138"/>
      <c r="G114" s="89"/>
    </row>
    <row r="115" spans="1:7" x14ac:dyDescent="0.2">
      <c r="A115" s="121" t="s">
        <v>110</v>
      </c>
      <c r="B115" s="25"/>
      <c r="C115" s="25"/>
      <c r="D115" s="25" t="s">
        <v>342</v>
      </c>
      <c r="E115" s="25" t="s">
        <v>30</v>
      </c>
      <c r="F115" s="388">
        <f>F38*F57*F114</f>
        <v>0</v>
      </c>
      <c r="G115" s="86"/>
    </row>
    <row r="116" spans="1:7" x14ac:dyDescent="0.2">
      <c r="A116" s="125" t="s">
        <v>344</v>
      </c>
      <c r="B116" s="37"/>
      <c r="C116" s="37"/>
      <c r="D116" s="37" t="s">
        <v>343</v>
      </c>
      <c r="E116" s="37" t="s">
        <v>30</v>
      </c>
      <c r="F116" s="384">
        <f>F115+F112</f>
        <v>0</v>
      </c>
      <c r="G116" s="86"/>
    </row>
    <row r="117" spans="1:7" x14ac:dyDescent="0.2">
      <c r="A117" s="121" t="s">
        <v>111</v>
      </c>
      <c r="B117" s="25"/>
      <c r="C117" s="25" t="s">
        <v>112</v>
      </c>
      <c r="D117" s="20"/>
      <c r="E117" s="25"/>
      <c r="F117" s="378"/>
      <c r="G117" s="81"/>
    </row>
    <row r="118" spans="1:7" x14ac:dyDescent="0.2">
      <c r="A118" s="121" t="s">
        <v>113</v>
      </c>
      <c r="B118" s="25"/>
      <c r="C118" s="25"/>
      <c r="D118" s="25" t="s">
        <v>114</v>
      </c>
      <c r="E118" s="17"/>
      <c r="F118" s="378"/>
      <c r="G118" s="81"/>
    </row>
    <row r="119" spans="1:7" x14ac:dyDescent="0.2">
      <c r="A119" s="126" t="s">
        <v>115</v>
      </c>
      <c r="B119" s="17"/>
      <c r="C119" s="17"/>
      <c r="D119" s="17" t="s">
        <v>116</v>
      </c>
      <c r="E119" s="17" t="s">
        <v>89</v>
      </c>
      <c r="F119" s="137"/>
      <c r="G119" s="88"/>
    </row>
    <row r="120" spans="1:7" x14ac:dyDescent="0.2">
      <c r="A120" s="126" t="s">
        <v>117</v>
      </c>
      <c r="B120" s="17"/>
      <c r="C120" s="17"/>
      <c r="D120" s="17" t="s">
        <v>345</v>
      </c>
      <c r="E120" s="17" t="s">
        <v>30</v>
      </c>
      <c r="F120" s="385">
        <f>(F37-6*(F21))*F119*F57</f>
        <v>0</v>
      </c>
      <c r="G120" s="87"/>
    </row>
    <row r="121" spans="1:7" x14ac:dyDescent="0.2">
      <c r="A121" s="121" t="s">
        <v>118</v>
      </c>
      <c r="B121" s="25"/>
      <c r="C121" s="25"/>
      <c r="D121" s="25" t="s">
        <v>119</v>
      </c>
      <c r="E121" s="17"/>
      <c r="F121" s="378"/>
      <c r="G121" s="81"/>
    </row>
    <row r="122" spans="1:7" x14ac:dyDescent="0.2">
      <c r="A122" s="126" t="s">
        <v>120</v>
      </c>
      <c r="B122" s="17"/>
      <c r="C122" s="17"/>
      <c r="D122" s="17" t="s">
        <v>121</v>
      </c>
      <c r="E122" s="17" t="s">
        <v>89</v>
      </c>
      <c r="F122" s="137"/>
      <c r="G122" s="88"/>
    </row>
    <row r="123" spans="1:7" x14ac:dyDescent="0.2">
      <c r="A123" s="126" t="s">
        <v>122</v>
      </c>
      <c r="B123" s="17"/>
      <c r="C123" s="17"/>
      <c r="D123" s="17" t="s">
        <v>346</v>
      </c>
      <c r="E123" s="17" t="s">
        <v>30</v>
      </c>
      <c r="F123" s="385">
        <f>F38*F122*F57</f>
        <v>0</v>
      </c>
      <c r="G123" s="87"/>
    </row>
    <row r="124" spans="1:7" x14ac:dyDescent="0.2">
      <c r="A124" s="125" t="s">
        <v>348</v>
      </c>
      <c r="B124" s="37"/>
      <c r="C124" s="37"/>
      <c r="D124" s="37" t="s">
        <v>347</v>
      </c>
      <c r="E124" s="37"/>
      <c r="F124" s="384">
        <f>F123+F120</f>
        <v>0</v>
      </c>
      <c r="G124" s="86"/>
    </row>
    <row r="125" spans="1:7" x14ac:dyDescent="0.2">
      <c r="A125" s="121" t="s">
        <v>123</v>
      </c>
      <c r="B125" s="25"/>
      <c r="C125" s="43" t="s">
        <v>124</v>
      </c>
      <c r="D125" s="20"/>
      <c r="E125" s="25"/>
      <c r="F125" s="389"/>
      <c r="G125" s="92"/>
    </row>
    <row r="126" spans="1:7" x14ac:dyDescent="0.2">
      <c r="A126" s="134" t="s">
        <v>125</v>
      </c>
      <c r="B126" s="20"/>
      <c r="C126" s="20"/>
      <c r="D126" s="20" t="s">
        <v>349</v>
      </c>
      <c r="E126" s="20" t="s">
        <v>30</v>
      </c>
      <c r="F126" s="390">
        <f>F43*F57/12</f>
        <v>0</v>
      </c>
      <c r="G126" s="93"/>
    </row>
    <row r="127" spans="1:7" x14ac:dyDescent="0.2">
      <c r="A127" s="134" t="s">
        <v>126</v>
      </c>
      <c r="B127" s="20"/>
      <c r="C127" s="20"/>
      <c r="D127" s="20" t="s">
        <v>179</v>
      </c>
      <c r="E127" s="20" t="s">
        <v>30</v>
      </c>
      <c r="F127" s="390">
        <f>F45*F57/12</f>
        <v>0</v>
      </c>
      <c r="G127" s="93"/>
    </row>
    <row r="128" spans="1:7" x14ac:dyDescent="0.2">
      <c r="A128" s="134" t="s">
        <v>127</v>
      </c>
      <c r="B128" s="20"/>
      <c r="C128" s="20"/>
      <c r="D128" s="44" t="s">
        <v>351</v>
      </c>
      <c r="E128" s="20" t="s">
        <v>30</v>
      </c>
      <c r="F128" s="390">
        <f>F46*F57/12</f>
        <v>0</v>
      </c>
      <c r="G128" s="93"/>
    </row>
    <row r="129" spans="1:7" x14ac:dyDescent="0.2">
      <c r="A129" s="134" t="s">
        <v>128</v>
      </c>
      <c r="B129" s="20"/>
      <c r="C129" s="20"/>
      <c r="D129" s="45" t="s">
        <v>350</v>
      </c>
      <c r="E129" s="20" t="s">
        <v>30</v>
      </c>
      <c r="F129" s="390">
        <f>F48*F57/12</f>
        <v>0</v>
      </c>
      <c r="G129" s="93"/>
    </row>
    <row r="130" spans="1:7" x14ac:dyDescent="0.2">
      <c r="A130" s="139" t="s">
        <v>263</v>
      </c>
      <c r="B130" s="37"/>
      <c r="C130" s="37"/>
      <c r="D130" s="47" t="s">
        <v>352</v>
      </c>
      <c r="E130" s="37" t="s">
        <v>30</v>
      </c>
      <c r="F130" s="391">
        <f>SUM(F126:F129)</f>
        <v>0</v>
      </c>
      <c r="G130" s="94"/>
    </row>
    <row r="131" spans="1:7" x14ac:dyDescent="0.2">
      <c r="A131" s="120" t="s">
        <v>353</v>
      </c>
      <c r="B131" s="39"/>
      <c r="C131" s="39" t="s">
        <v>95</v>
      </c>
      <c r="D131" s="20"/>
      <c r="E131" s="39"/>
      <c r="F131" s="392"/>
      <c r="G131" s="86"/>
    </row>
    <row r="132" spans="1:7" x14ac:dyDescent="0.2">
      <c r="A132" s="126" t="s">
        <v>354</v>
      </c>
      <c r="B132" s="17"/>
      <c r="C132" s="17"/>
      <c r="D132" s="17" t="s">
        <v>97</v>
      </c>
      <c r="E132" s="17" t="s">
        <v>98</v>
      </c>
      <c r="F132" s="385">
        <f>F24</f>
        <v>0</v>
      </c>
      <c r="G132" s="70"/>
    </row>
    <row r="133" spans="1:7" x14ac:dyDescent="0.2">
      <c r="A133" s="125" t="s">
        <v>355</v>
      </c>
      <c r="B133" s="37"/>
      <c r="C133" s="37"/>
      <c r="D133" s="37" t="s">
        <v>356</v>
      </c>
      <c r="E133" s="37" t="s">
        <v>30</v>
      </c>
      <c r="F133" s="393">
        <f>F132*F57</f>
        <v>0</v>
      </c>
      <c r="G133" s="95"/>
    </row>
    <row r="134" spans="1:7" x14ac:dyDescent="0.2">
      <c r="A134" s="121" t="s">
        <v>357</v>
      </c>
      <c r="B134" s="25" t="s">
        <v>218</v>
      </c>
      <c r="C134" s="25"/>
      <c r="D134" s="46"/>
      <c r="E134" s="26"/>
      <c r="F134" s="394"/>
      <c r="G134" s="36"/>
    </row>
    <row r="135" spans="1:7" x14ac:dyDescent="0.2">
      <c r="A135" s="121" t="s">
        <v>358</v>
      </c>
      <c r="B135" s="25"/>
      <c r="C135" s="25" t="s">
        <v>461</v>
      </c>
      <c r="D135" s="20"/>
      <c r="E135" s="17"/>
      <c r="F135" s="378"/>
      <c r="G135" s="81"/>
    </row>
    <row r="136" spans="1:7" x14ac:dyDescent="0.2">
      <c r="A136" s="112" t="s">
        <v>360</v>
      </c>
      <c r="B136" s="19"/>
      <c r="C136" s="19"/>
      <c r="D136" s="17" t="s">
        <v>73</v>
      </c>
      <c r="E136" s="17" t="s">
        <v>74</v>
      </c>
      <c r="F136" s="136"/>
      <c r="G136" s="96"/>
    </row>
    <row r="137" spans="1:7" x14ac:dyDescent="0.2">
      <c r="A137" s="125" t="s">
        <v>359</v>
      </c>
      <c r="B137" s="37"/>
      <c r="C137" s="37"/>
      <c r="D137" s="37" t="s">
        <v>367</v>
      </c>
      <c r="E137" s="37" t="s">
        <v>30</v>
      </c>
      <c r="F137" s="381">
        <f>F136*F82*F19</f>
        <v>0</v>
      </c>
      <c r="G137" s="84"/>
    </row>
    <row r="138" spans="1:7" x14ac:dyDescent="0.2">
      <c r="A138" s="120" t="s">
        <v>361</v>
      </c>
      <c r="B138" s="39"/>
      <c r="C138" s="39" t="s">
        <v>77</v>
      </c>
      <c r="D138" s="20"/>
      <c r="E138" s="40"/>
      <c r="F138" s="382"/>
      <c r="G138" s="81"/>
    </row>
    <row r="139" spans="1:7" x14ac:dyDescent="0.2">
      <c r="A139" s="126" t="s">
        <v>362</v>
      </c>
      <c r="B139" s="17"/>
      <c r="C139" s="17"/>
      <c r="D139" s="17" t="s">
        <v>182</v>
      </c>
      <c r="E139" s="17" t="s">
        <v>183</v>
      </c>
      <c r="F139" s="383">
        <f>F19*0.05</f>
        <v>0</v>
      </c>
      <c r="G139" s="85"/>
    </row>
    <row r="140" spans="1:7" x14ac:dyDescent="0.2">
      <c r="A140" s="133" t="s">
        <v>363</v>
      </c>
      <c r="B140" s="41"/>
      <c r="C140" s="41"/>
      <c r="D140" s="37" t="s">
        <v>368</v>
      </c>
      <c r="E140" s="37" t="s">
        <v>30</v>
      </c>
      <c r="F140" s="384">
        <f>F139*F82</f>
        <v>0</v>
      </c>
      <c r="G140" s="86"/>
    </row>
    <row r="141" spans="1:7" x14ac:dyDescent="0.2">
      <c r="A141" s="120" t="s">
        <v>364</v>
      </c>
      <c r="B141" s="39"/>
      <c r="C141" s="39" t="s">
        <v>81</v>
      </c>
      <c r="D141" s="20"/>
      <c r="E141" s="40"/>
      <c r="F141" s="382"/>
      <c r="G141" s="81"/>
    </row>
    <row r="142" spans="1:7" x14ac:dyDescent="0.2">
      <c r="A142" s="126" t="s">
        <v>365</v>
      </c>
      <c r="B142" s="17"/>
      <c r="C142" s="17"/>
      <c r="D142" s="17" t="s">
        <v>372</v>
      </c>
      <c r="E142" s="17" t="s">
        <v>83</v>
      </c>
      <c r="F142" s="385">
        <f>F23*4</f>
        <v>0</v>
      </c>
      <c r="G142" s="87"/>
    </row>
    <row r="143" spans="1:7" x14ac:dyDescent="0.2">
      <c r="A143" s="126" t="s">
        <v>366</v>
      </c>
      <c r="B143" s="17"/>
      <c r="C143" s="17"/>
      <c r="D143" s="17" t="s">
        <v>229</v>
      </c>
      <c r="E143" s="17" t="s">
        <v>85</v>
      </c>
      <c r="F143" s="309"/>
      <c r="G143" s="81"/>
    </row>
    <row r="144" spans="1:7" x14ac:dyDescent="0.2">
      <c r="A144" s="125" t="s">
        <v>456</v>
      </c>
      <c r="B144" s="37"/>
      <c r="C144" s="37"/>
      <c r="D144" s="37" t="s">
        <v>329</v>
      </c>
      <c r="E144" s="37" t="s">
        <v>30</v>
      </c>
      <c r="F144" s="384" t="e">
        <f>F142/F143*F82</f>
        <v>#DIV/0!</v>
      </c>
      <c r="G144" s="86"/>
    </row>
    <row r="145" spans="1:7" x14ac:dyDescent="0.2">
      <c r="A145" s="131" t="s">
        <v>369</v>
      </c>
      <c r="B145" s="38"/>
      <c r="C145" s="39" t="s">
        <v>178</v>
      </c>
      <c r="D145" s="20"/>
      <c r="E145" s="40"/>
      <c r="F145" s="382"/>
      <c r="G145" s="81"/>
    </row>
    <row r="146" spans="1:7" x14ac:dyDescent="0.2">
      <c r="A146" s="126" t="s">
        <v>370</v>
      </c>
      <c r="B146" s="17"/>
      <c r="C146" s="17"/>
      <c r="D146" s="17" t="s">
        <v>228</v>
      </c>
      <c r="E146" s="17" t="s">
        <v>89</v>
      </c>
      <c r="F146" s="137"/>
      <c r="G146" s="88"/>
    </row>
    <row r="147" spans="1:7" x14ac:dyDescent="0.2">
      <c r="A147" s="126" t="s">
        <v>371</v>
      </c>
      <c r="B147" s="17"/>
      <c r="C147" s="17"/>
      <c r="D147" s="37" t="s">
        <v>335</v>
      </c>
      <c r="E147" s="17" t="s">
        <v>30</v>
      </c>
      <c r="F147" s="388">
        <f>(F39-4*F23)*F59*F146</f>
        <v>0</v>
      </c>
      <c r="G147" s="86"/>
    </row>
    <row r="148" spans="1:7" x14ac:dyDescent="0.2">
      <c r="A148" s="120" t="s">
        <v>373</v>
      </c>
      <c r="B148" s="39"/>
      <c r="C148" s="42" t="s">
        <v>101</v>
      </c>
      <c r="D148" s="20"/>
      <c r="E148" s="42"/>
      <c r="F148" s="387"/>
      <c r="G148" s="91"/>
    </row>
    <row r="149" spans="1:7" x14ac:dyDescent="0.2">
      <c r="A149" s="112" t="s">
        <v>374</v>
      </c>
      <c r="B149" s="19"/>
      <c r="C149" s="19"/>
      <c r="D149" s="19" t="s">
        <v>379</v>
      </c>
      <c r="E149" s="19"/>
      <c r="F149" s="376"/>
      <c r="G149" s="81"/>
    </row>
    <row r="150" spans="1:7" x14ac:dyDescent="0.2">
      <c r="A150" s="126" t="s">
        <v>458</v>
      </c>
      <c r="B150" s="17"/>
      <c r="C150" s="17"/>
      <c r="D150" s="17" t="s">
        <v>105</v>
      </c>
      <c r="E150" s="17" t="s">
        <v>89</v>
      </c>
      <c r="F150" s="138"/>
      <c r="G150" s="89"/>
    </row>
    <row r="151" spans="1:7" x14ac:dyDescent="0.2">
      <c r="A151" s="121" t="s">
        <v>375</v>
      </c>
      <c r="B151" s="25"/>
      <c r="C151" s="25"/>
      <c r="D151" s="25" t="s">
        <v>384</v>
      </c>
      <c r="E151" s="25" t="s">
        <v>30</v>
      </c>
      <c r="F151" s="388">
        <f>(F39-4*F23)*F59*F150</f>
        <v>0</v>
      </c>
      <c r="G151" s="86"/>
    </row>
    <row r="152" spans="1:7" x14ac:dyDescent="0.2">
      <c r="A152" s="120" t="s">
        <v>376</v>
      </c>
      <c r="B152" s="39"/>
      <c r="C152" s="39" t="s">
        <v>112</v>
      </c>
      <c r="D152" s="63"/>
      <c r="E152" s="39"/>
      <c r="F152" s="382"/>
      <c r="G152" s="81"/>
    </row>
    <row r="153" spans="1:7" x14ac:dyDescent="0.2">
      <c r="A153" s="126" t="s">
        <v>377</v>
      </c>
      <c r="B153" s="17"/>
      <c r="C153" s="17"/>
      <c r="D153" s="25" t="s">
        <v>386</v>
      </c>
      <c r="E153" s="17"/>
      <c r="F153" s="378"/>
      <c r="G153" s="81"/>
    </row>
    <row r="154" spans="1:7" x14ac:dyDescent="0.2">
      <c r="A154" s="126" t="s">
        <v>457</v>
      </c>
      <c r="B154" s="17"/>
      <c r="C154" s="17"/>
      <c r="D154" s="17" t="s">
        <v>116</v>
      </c>
      <c r="E154" s="17" t="s">
        <v>89</v>
      </c>
      <c r="F154" s="137"/>
      <c r="G154" s="88"/>
    </row>
    <row r="155" spans="1:7" x14ac:dyDescent="0.2">
      <c r="A155" s="121" t="s">
        <v>378</v>
      </c>
      <c r="B155" s="25"/>
      <c r="C155" s="25"/>
      <c r="D155" s="25" t="s">
        <v>385</v>
      </c>
      <c r="E155" s="25" t="s">
        <v>30</v>
      </c>
      <c r="F155" s="388">
        <f>(F39-4*F23)*F154*F59</f>
        <v>0</v>
      </c>
      <c r="G155" s="86"/>
    </row>
    <row r="156" spans="1:7" x14ac:dyDescent="0.2">
      <c r="A156" s="120" t="s">
        <v>380</v>
      </c>
      <c r="B156" s="39"/>
      <c r="C156" s="48" t="s">
        <v>124</v>
      </c>
      <c r="D156" s="63"/>
      <c r="E156" s="39"/>
      <c r="F156" s="395"/>
      <c r="G156" s="92"/>
    </row>
    <row r="157" spans="1:7" x14ac:dyDescent="0.2">
      <c r="A157" s="134" t="s">
        <v>381</v>
      </c>
      <c r="B157" s="20"/>
      <c r="C157" s="20"/>
      <c r="D157" s="20" t="s">
        <v>349</v>
      </c>
      <c r="E157" s="20" t="s">
        <v>30</v>
      </c>
      <c r="F157" s="390">
        <f>F44*F59/12</f>
        <v>0</v>
      </c>
      <c r="G157" s="93"/>
    </row>
    <row r="158" spans="1:7" x14ac:dyDescent="0.2">
      <c r="A158" s="134" t="s">
        <v>382</v>
      </c>
      <c r="B158" s="20"/>
      <c r="C158" s="20"/>
      <c r="D158" s="20" t="s">
        <v>179</v>
      </c>
      <c r="E158" s="20" t="s">
        <v>30</v>
      </c>
      <c r="F158" s="390">
        <f>F45*F59/12</f>
        <v>0</v>
      </c>
      <c r="G158" s="93"/>
    </row>
    <row r="159" spans="1:7" x14ac:dyDescent="0.2">
      <c r="A159" s="134" t="s">
        <v>383</v>
      </c>
      <c r="B159" s="20"/>
      <c r="C159" s="20"/>
      <c r="D159" s="44" t="s">
        <v>351</v>
      </c>
      <c r="E159" s="20" t="s">
        <v>30</v>
      </c>
      <c r="F159" s="390">
        <f>F47*F59/12</f>
        <v>0</v>
      </c>
      <c r="G159" s="93"/>
    </row>
    <row r="160" spans="1:7" x14ac:dyDescent="0.2">
      <c r="A160" s="134" t="s">
        <v>459</v>
      </c>
      <c r="B160" s="20"/>
      <c r="C160" s="20"/>
      <c r="D160" s="45" t="s">
        <v>350</v>
      </c>
      <c r="E160" s="20" t="s">
        <v>30</v>
      </c>
      <c r="F160" s="390">
        <f>F49*F59/12</f>
        <v>0</v>
      </c>
      <c r="G160" s="93"/>
    </row>
    <row r="161" spans="1:8" x14ac:dyDescent="0.2">
      <c r="A161" s="139" t="s">
        <v>460</v>
      </c>
      <c r="B161" s="37"/>
      <c r="C161" s="37"/>
      <c r="D161" s="47" t="s">
        <v>387</v>
      </c>
      <c r="E161" s="37" t="s">
        <v>30</v>
      </c>
      <c r="F161" s="391">
        <f>SUM(F157:F160)</f>
        <v>0</v>
      </c>
      <c r="G161" s="94"/>
    </row>
    <row r="162" spans="1:8" x14ac:dyDescent="0.2">
      <c r="A162" s="146"/>
      <c r="B162" s="49" t="s">
        <v>232</v>
      </c>
      <c r="C162" s="30"/>
      <c r="D162" s="20"/>
      <c r="E162" s="27"/>
      <c r="F162" s="396" t="e">
        <f>F161+F155+F151+F147+F144+F140+F137+F130+F124+F116+F133+F108+F100+F95+F92+F89</f>
        <v>#DIV/0!</v>
      </c>
      <c r="G162" s="97"/>
    </row>
    <row r="163" spans="1:8" x14ac:dyDescent="0.2">
      <c r="A163" s="117"/>
      <c r="B163" s="22"/>
      <c r="C163" s="22"/>
      <c r="D163" s="23"/>
      <c r="E163" s="23"/>
      <c r="F163" s="397"/>
      <c r="G163" s="75"/>
    </row>
    <row r="164" spans="1:8" x14ac:dyDescent="0.2">
      <c r="A164" s="129">
        <v>2</v>
      </c>
      <c r="B164" s="24" t="s">
        <v>235</v>
      </c>
      <c r="C164" s="24"/>
      <c r="D164" s="61"/>
      <c r="E164" s="50" t="s">
        <v>1</v>
      </c>
      <c r="F164" s="398" t="s">
        <v>2</v>
      </c>
      <c r="G164" s="98"/>
    </row>
    <row r="165" spans="1:8" x14ac:dyDescent="0.2">
      <c r="A165" s="131" t="s">
        <v>129</v>
      </c>
      <c r="B165" s="51" t="s">
        <v>133</v>
      </c>
      <c r="C165" s="51"/>
      <c r="D165" s="63"/>
      <c r="E165" s="52"/>
      <c r="F165" s="399"/>
      <c r="G165" s="77"/>
    </row>
    <row r="166" spans="1:8" x14ac:dyDescent="0.2">
      <c r="A166" s="126" t="s">
        <v>391</v>
      </c>
      <c r="B166" s="17"/>
      <c r="C166" s="17"/>
      <c r="D166" s="17" t="s">
        <v>388</v>
      </c>
      <c r="E166" s="17" t="s">
        <v>30</v>
      </c>
      <c r="F166" s="385">
        <f>F33*(F64+F65)</f>
        <v>0</v>
      </c>
      <c r="G166" s="87"/>
    </row>
    <row r="167" spans="1:8" x14ac:dyDescent="0.2">
      <c r="A167" s="126" t="s">
        <v>392</v>
      </c>
      <c r="B167" s="17"/>
      <c r="C167" s="17"/>
      <c r="D167" s="17" t="s">
        <v>389</v>
      </c>
      <c r="E167" s="17" t="s">
        <v>30</v>
      </c>
      <c r="F167" s="385">
        <f>F33*0.2/220*1.14*5*F10*F65</f>
        <v>0</v>
      </c>
      <c r="G167" s="87"/>
    </row>
    <row r="168" spans="1:8" x14ac:dyDescent="0.2">
      <c r="A168" s="126" t="s">
        <v>393</v>
      </c>
      <c r="B168" s="17"/>
      <c r="C168" s="17"/>
      <c r="D168" s="17" t="s">
        <v>390</v>
      </c>
      <c r="E168" s="17" t="s">
        <v>30</v>
      </c>
      <c r="F168" s="385">
        <f>F33*(F64+F65)*0.4</f>
        <v>0</v>
      </c>
      <c r="G168" s="87"/>
    </row>
    <row r="169" spans="1:8" x14ac:dyDescent="0.2">
      <c r="A169" s="126" t="s">
        <v>394</v>
      </c>
      <c r="B169" s="17"/>
      <c r="C169" s="17"/>
      <c r="D169" s="17" t="s">
        <v>406</v>
      </c>
      <c r="E169" s="17" t="s">
        <v>30</v>
      </c>
      <c r="F169" s="385">
        <f>F34*(F66+F67)</f>
        <v>0</v>
      </c>
      <c r="G169" s="87"/>
    </row>
    <row r="170" spans="1:8" x14ac:dyDescent="0.2">
      <c r="A170" s="126" t="s">
        <v>395</v>
      </c>
      <c r="B170" s="17"/>
      <c r="C170" s="17"/>
      <c r="D170" s="17" t="s">
        <v>407</v>
      </c>
      <c r="E170" s="17" t="s">
        <v>30</v>
      </c>
      <c r="F170" s="385">
        <f>F34/220*1.14*0.2*5*F10*F67</f>
        <v>0</v>
      </c>
      <c r="G170" s="87"/>
    </row>
    <row r="171" spans="1:8" x14ac:dyDescent="0.2">
      <c r="A171" s="126" t="s">
        <v>396</v>
      </c>
      <c r="B171" s="17"/>
      <c r="C171" s="17"/>
      <c r="D171" s="17" t="s">
        <v>408</v>
      </c>
      <c r="E171" s="17" t="s">
        <v>30</v>
      </c>
      <c r="F171" s="385">
        <f>F34*(F66+F67)*0.4</f>
        <v>0</v>
      </c>
      <c r="G171" s="87"/>
      <c r="H171" s="2"/>
    </row>
    <row r="172" spans="1:8" x14ac:dyDescent="0.2">
      <c r="A172" s="126" t="s">
        <v>397</v>
      </c>
      <c r="B172" s="17"/>
      <c r="C172" s="17"/>
      <c r="D172" s="44" t="s">
        <v>409</v>
      </c>
      <c r="E172" s="17" t="s">
        <v>30</v>
      </c>
      <c r="F172" s="400">
        <f>F35*F68</f>
        <v>0</v>
      </c>
      <c r="G172" s="99"/>
    </row>
    <row r="173" spans="1:8" x14ac:dyDescent="0.2">
      <c r="A173" s="126" t="s">
        <v>398</v>
      </c>
      <c r="B173" s="17"/>
      <c r="C173" s="17"/>
      <c r="D173" s="17" t="s">
        <v>534</v>
      </c>
      <c r="E173" s="17" t="s">
        <v>30</v>
      </c>
      <c r="F173" s="401">
        <f>0.4*(F68)*F35</f>
        <v>0</v>
      </c>
      <c r="G173" s="93"/>
    </row>
    <row r="174" spans="1:8" x14ac:dyDescent="0.2">
      <c r="A174" s="126" t="s">
        <v>398</v>
      </c>
      <c r="B174" s="17"/>
      <c r="C174" s="17"/>
      <c r="D174" s="44" t="s">
        <v>410</v>
      </c>
      <c r="E174" s="17" t="s">
        <v>30</v>
      </c>
      <c r="F174" s="400">
        <f>F36*F69</f>
        <v>0</v>
      </c>
      <c r="G174" s="99"/>
    </row>
    <row r="175" spans="1:8" x14ac:dyDescent="0.2">
      <c r="A175" s="121" t="s">
        <v>399</v>
      </c>
      <c r="B175" s="25"/>
      <c r="C175" s="25"/>
      <c r="D175" s="53" t="s">
        <v>236</v>
      </c>
      <c r="E175" s="25" t="s">
        <v>30</v>
      </c>
      <c r="F175" s="402">
        <f>SUM(F166:F174)</f>
        <v>0</v>
      </c>
      <c r="G175" s="100"/>
    </row>
    <row r="176" spans="1:8" x14ac:dyDescent="0.2">
      <c r="A176" s="121" t="s">
        <v>400</v>
      </c>
      <c r="B176" s="53" t="s">
        <v>135</v>
      </c>
      <c r="C176" s="53"/>
      <c r="D176" s="20"/>
      <c r="E176" s="44"/>
      <c r="F176" s="403"/>
      <c r="G176" s="101"/>
    </row>
    <row r="177" spans="1:8" x14ac:dyDescent="0.2">
      <c r="A177" s="112" t="s">
        <v>130</v>
      </c>
      <c r="B177" s="19"/>
      <c r="C177" s="19"/>
      <c r="D177" s="19" t="s">
        <v>411</v>
      </c>
      <c r="E177" s="17" t="s">
        <v>30</v>
      </c>
      <c r="F177" s="404">
        <f>F175*F42</f>
        <v>0</v>
      </c>
      <c r="G177" s="87"/>
    </row>
    <row r="178" spans="1:8" x14ac:dyDescent="0.2">
      <c r="A178" s="121" t="s">
        <v>131</v>
      </c>
      <c r="B178" s="25"/>
      <c r="C178" s="25"/>
      <c r="D178" s="53" t="s">
        <v>237</v>
      </c>
      <c r="E178" s="25" t="s">
        <v>30</v>
      </c>
      <c r="F178" s="402">
        <f>SUM(F177:F177)</f>
        <v>0</v>
      </c>
      <c r="G178" s="100"/>
    </row>
    <row r="179" spans="1:8" x14ac:dyDescent="0.2">
      <c r="A179" s="121" t="s">
        <v>132</v>
      </c>
      <c r="B179" s="53" t="s">
        <v>141</v>
      </c>
      <c r="C179" s="53"/>
      <c r="D179" s="46"/>
      <c r="E179" s="44"/>
      <c r="F179" s="400"/>
      <c r="G179" s="99"/>
    </row>
    <row r="180" spans="1:8" x14ac:dyDescent="0.2">
      <c r="A180" s="141" t="s">
        <v>401</v>
      </c>
      <c r="B180" s="44"/>
      <c r="C180" s="44"/>
      <c r="D180" s="44" t="s">
        <v>388</v>
      </c>
      <c r="E180" s="17" t="s">
        <v>30</v>
      </c>
      <c r="F180" s="385">
        <f>F40*F10*(F64+F65)</f>
        <v>0</v>
      </c>
      <c r="G180" s="87"/>
    </row>
    <row r="181" spans="1:8" x14ac:dyDescent="0.2">
      <c r="A181" s="141" t="s">
        <v>402</v>
      </c>
      <c r="B181" s="44"/>
      <c r="C181" s="44"/>
      <c r="D181" s="44" t="s">
        <v>412</v>
      </c>
      <c r="E181" s="17" t="s">
        <v>30</v>
      </c>
      <c r="F181" s="385">
        <f>F40*F10*(F66+F67)</f>
        <v>0</v>
      </c>
      <c r="G181" s="87"/>
    </row>
    <row r="182" spans="1:8" x14ac:dyDescent="0.2">
      <c r="A182" s="141" t="s">
        <v>403</v>
      </c>
      <c r="B182" s="44"/>
      <c r="C182" s="44"/>
      <c r="D182" s="44" t="s">
        <v>413</v>
      </c>
      <c r="E182" s="17" t="s">
        <v>30</v>
      </c>
      <c r="F182" s="385">
        <f>F40*F10*F68</f>
        <v>0</v>
      </c>
      <c r="G182" s="87"/>
    </row>
    <row r="183" spans="1:8" x14ac:dyDescent="0.2">
      <c r="A183" s="141" t="s">
        <v>404</v>
      </c>
      <c r="B183" s="44"/>
      <c r="C183" s="44"/>
      <c r="D183" s="44" t="s">
        <v>414</v>
      </c>
      <c r="E183" s="17" t="s">
        <v>30</v>
      </c>
      <c r="F183" s="385">
        <f>F40*F10*F69</f>
        <v>0</v>
      </c>
      <c r="G183" s="87"/>
    </row>
    <row r="184" spans="1:8" x14ac:dyDescent="0.2">
      <c r="A184" s="142" t="s">
        <v>405</v>
      </c>
      <c r="B184" s="53"/>
      <c r="C184" s="53"/>
      <c r="D184" s="53" t="s">
        <v>147</v>
      </c>
      <c r="E184" s="25" t="s">
        <v>30</v>
      </c>
      <c r="F184" s="388">
        <f>SUM(F180:F183)</f>
        <v>0</v>
      </c>
      <c r="G184" s="86"/>
    </row>
    <row r="185" spans="1:8" x14ac:dyDescent="0.2">
      <c r="A185" s="139" t="s">
        <v>134</v>
      </c>
      <c r="B185" s="46" t="s">
        <v>149</v>
      </c>
      <c r="C185" s="46"/>
      <c r="D185" s="46"/>
      <c r="E185" s="46"/>
      <c r="F185" s="405"/>
      <c r="G185" s="76"/>
      <c r="H185" s="2"/>
    </row>
    <row r="186" spans="1:8" x14ac:dyDescent="0.2">
      <c r="A186" s="134" t="s">
        <v>136</v>
      </c>
      <c r="B186" s="20"/>
      <c r="C186" s="20"/>
      <c r="D186" s="20" t="s">
        <v>525</v>
      </c>
      <c r="E186" s="20" t="s">
        <v>30</v>
      </c>
      <c r="F186" s="404">
        <f>(F41*2*F10-(0.06*F33))*(F64+F65)</f>
        <v>0</v>
      </c>
      <c r="G186" s="87"/>
    </row>
    <row r="187" spans="1:8" x14ac:dyDescent="0.2">
      <c r="A187" s="134" t="s">
        <v>137</v>
      </c>
      <c r="B187" s="20"/>
      <c r="C187" s="20"/>
      <c r="D187" s="20" t="s">
        <v>526</v>
      </c>
      <c r="E187" s="20" t="s">
        <v>30</v>
      </c>
      <c r="F187" s="404">
        <f>(F41*2*F10-(0.06*F34))*(F66+F67)</f>
        <v>0</v>
      </c>
      <c r="G187" s="87"/>
    </row>
    <row r="188" spans="1:8" x14ac:dyDescent="0.2">
      <c r="A188" s="134" t="s">
        <v>138</v>
      </c>
      <c r="B188" s="20"/>
      <c r="C188" s="20"/>
      <c r="D188" s="20" t="s">
        <v>413</v>
      </c>
      <c r="E188" s="20" t="s">
        <v>30</v>
      </c>
      <c r="F188" s="404">
        <f>(F41*2*F10-(0.06*F35))*F68</f>
        <v>0</v>
      </c>
      <c r="G188" s="87"/>
    </row>
    <row r="189" spans="1:8" x14ac:dyDescent="0.2">
      <c r="A189" s="134" t="s">
        <v>415</v>
      </c>
      <c r="B189" s="20"/>
      <c r="C189" s="20"/>
      <c r="D189" s="20" t="s">
        <v>418</v>
      </c>
      <c r="E189" s="20" t="s">
        <v>30</v>
      </c>
      <c r="F189" s="404">
        <f>(F41*2*F10-(0.06*F36))*F69</f>
        <v>0</v>
      </c>
      <c r="G189" s="87"/>
    </row>
    <row r="190" spans="1:8" x14ac:dyDescent="0.2">
      <c r="A190" s="142" t="s">
        <v>416</v>
      </c>
      <c r="B190" s="53"/>
      <c r="C190" s="53"/>
      <c r="D190" s="53" t="s">
        <v>155</v>
      </c>
      <c r="E190" s="25" t="s">
        <v>30</v>
      </c>
      <c r="F190" s="388">
        <f>SUM(F186:F189)</f>
        <v>0</v>
      </c>
      <c r="G190" s="86"/>
    </row>
    <row r="191" spans="1:8" x14ac:dyDescent="0.2">
      <c r="A191" s="142" t="s">
        <v>417</v>
      </c>
      <c r="B191" s="53" t="s">
        <v>157</v>
      </c>
      <c r="C191" s="53"/>
      <c r="D191" s="20"/>
      <c r="E191" s="25"/>
      <c r="F191" s="388"/>
      <c r="G191" s="86"/>
    </row>
    <row r="192" spans="1:8" x14ac:dyDescent="0.2">
      <c r="A192" s="139" t="s">
        <v>140</v>
      </c>
      <c r="B192" s="46"/>
      <c r="C192" s="46" t="s">
        <v>158</v>
      </c>
      <c r="D192" s="46"/>
      <c r="E192" s="46"/>
      <c r="F192" s="406"/>
      <c r="G192" s="100"/>
    </row>
    <row r="193" spans="1:7" x14ac:dyDescent="0.2">
      <c r="A193" s="134" t="s">
        <v>142</v>
      </c>
      <c r="B193" s="20"/>
      <c r="C193" s="20"/>
      <c r="D193" s="20" t="s">
        <v>419</v>
      </c>
      <c r="E193" s="20" t="s">
        <v>268</v>
      </c>
      <c r="F193" s="407">
        <f>4*F25/12</f>
        <v>0</v>
      </c>
      <c r="G193" s="99"/>
    </row>
    <row r="194" spans="1:7" x14ac:dyDescent="0.2">
      <c r="A194" s="134" t="s">
        <v>143</v>
      </c>
      <c r="B194" s="20"/>
      <c r="C194" s="20"/>
      <c r="D194" s="20" t="s">
        <v>420</v>
      </c>
      <c r="E194" s="20" t="s">
        <v>268</v>
      </c>
      <c r="F194" s="407">
        <f>4*F26/12</f>
        <v>0</v>
      </c>
      <c r="G194" s="99"/>
    </row>
    <row r="195" spans="1:7" x14ac:dyDescent="0.2">
      <c r="A195" s="134" t="s">
        <v>144</v>
      </c>
      <c r="B195" s="20"/>
      <c r="C195" s="20"/>
      <c r="D195" s="20" t="s">
        <v>423</v>
      </c>
      <c r="E195" s="20" t="s">
        <v>268</v>
      </c>
      <c r="F195" s="407">
        <f>3*F30/12</f>
        <v>0</v>
      </c>
      <c r="G195" s="99"/>
    </row>
    <row r="196" spans="1:7" x14ac:dyDescent="0.2">
      <c r="A196" s="134" t="s">
        <v>145</v>
      </c>
      <c r="B196" s="20"/>
      <c r="C196" s="20"/>
      <c r="D196" s="44" t="s">
        <v>424</v>
      </c>
      <c r="E196" s="20" t="s">
        <v>268</v>
      </c>
      <c r="F196" s="407">
        <f>SUM(F193:F195)</f>
        <v>0</v>
      </c>
      <c r="G196" s="99"/>
    </row>
    <row r="197" spans="1:7" x14ac:dyDescent="0.2">
      <c r="A197" s="134" t="s">
        <v>146</v>
      </c>
      <c r="B197" s="20"/>
      <c r="C197" s="20"/>
      <c r="D197" s="44" t="s">
        <v>425</v>
      </c>
      <c r="E197" s="20" t="s">
        <v>30</v>
      </c>
      <c r="F197" s="407">
        <f>F196*(F64+F65)</f>
        <v>0</v>
      </c>
      <c r="G197" s="99"/>
    </row>
    <row r="198" spans="1:7" x14ac:dyDescent="0.2">
      <c r="A198" s="139" t="s">
        <v>148</v>
      </c>
      <c r="B198" s="46"/>
      <c r="C198" s="46" t="s">
        <v>159</v>
      </c>
      <c r="D198" s="46"/>
      <c r="E198" s="20"/>
      <c r="F198" s="406"/>
      <c r="G198" s="100"/>
    </row>
    <row r="199" spans="1:7" x14ac:dyDescent="0.2">
      <c r="A199" s="134" t="s">
        <v>150</v>
      </c>
      <c r="B199" s="20"/>
      <c r="C199" s="20"/>
      <c r="D199" s="19" t="s">
        <v>434</v>
      </c>
      <c r="E199" s="20" t="s">
        <v>268</v>
      </c>
      <c r="F199" s="407">
        <f>8*F25/12</f>
        <v>0</v>
      </c>
      <c r="G199" s="99"/>
    </row>
    <row r="200" spans="1:7" x14ac:dyDescent="0.2">
      <c r="A200" s="134" t="s">
        <v>151</v>
      </c>
      <c r="B200" s="20"/>
      <c r="C200" s="20"/>
      <c r="D200" s="20" t="s">
        <v>435</v>
      </c>
      <c r="E200" s="20" t="s">
        <v>268</v>
      </c>
      <c r="F200" s="407">
        <f>8*F26/12</f>
        <v>0</v>
      </c>
      <c r="G200" s="99"/>
    </row>
    <row r="201" spans="1:7" x14ac:dyDescent="0.2">
      <c r="A201" s="134" t="s">
        <v>152</v>
      </c>
      <c r="B201" s="20"/>
      <c r="C201" s="20"/>
      <c r="D201" s="20" t="s">
        <v>436</v>
      </c>
      <c r="E201" s="20" t="s">
        <v>268</v>
      </c>
      <c r="F201" s="407">
        <f>3*F27/12</f>
        <v>0</v>
      </c>
      <c r="G201" s="99"/>
    </row>
    <row r="202" spans="1:7" x14ac:dyDescent="0.2">
      <c r="A202" s="134" t="s">
        <v>153</v>
      </c>
      <c r="B202" s="20"/>
      <c r="C202" s="20"/>
      <c r="D202" s="20" t="s">
        <v>231</v>
      </c>
      <c r="E202" s="20" t="s">
        <v>268</v>
      </c>
      <c r="F202" s="407">
        <f>4*F28/12</f>
        <v>0</v>
      </c>
      <c r="G202" s="99"/>
    </row>
    <row r="203" spans="1:7" x14ac:dyDescent="0.2">
      <c r="A203" s="134" t="s">
        <v>154</v>
      </c>
      <c r="B203" s="20"/>
      <c r="C203" s="20"/>
      <c r="D203" s="20" t="s">
        <v>437</v>
      </c>
      <c r="E203" s="20" t="s">
        <v>268</v>
      </c>
      <c r="F203" s="407">
        <f>2*F29/12</f>
        <v>0</v>
      </c>
      <c r="G203" s="99"/>
    </row>
    <row r="204" spans="1:7" x14ac:dyDescent="0.2">
      <c r="A204" s="134" t="s">
        <v>426</v>
      </c>
      <c r="B204" s="20"/>
      <c r="C204" s="20"/>
      <c r="D204" s="20" t="s">
        <v>438</v>
      </c>
      <c r="E204" s="20" t="s">
        <v>268</v>
      </c>
      <c r="F204" s="407">
        <f>6*F30/12</f>
        <v>0</v>
      </c>
      <c r="G204" s="99"/>
    </row>
    <row r="205" spans="1:7" x14ac:dyDescent="0.2">
      <c r="A205" s="134" t="s">
        <v>427</v>
      </c>
      <c r="B205" s="20"/>
      <c r="C205" s="20"/>
      <c r="D205" s="20" t="s">
        <v>439</v>
      </c>
      <c r="E205" s="20" t="s">
        <v>268</v>
      </c>
      <c r="F205" s="407">
        <f>2*F31/12</f>
        <v>0</v>
      </c>
      <c r="G205" s="99"/>
    </row>
    <row r="206" spans="1:7" ht="25.5" x14ac:dyDescent="0.2">
      <c r="A206" s="301" t="s">
        <v>428</v>
      </c>
      <c r="B206" s="56"/>
      <c r="C206" s="56"/>
      <c r="D206" s="64" t="s">
        <v>433</v>
      </c>
      <c r="E206" s="20" t="s">
        <v>268</v>
      </c>
      <c r="F206" s="407">
        <f>24*F32/12</f>
        <v>0</v>
      </c>
      <c r="G206" s="99"/>
    </row>
    <row r="207" spans="1:7" x14ac:dyDescent="0.2">
      <c r="A207" s="134" t="s">
        <v>429</v>
      </c>
      <c r="B207" s="20"/>
      <c r="C207" s="20"/>
      <c r="D207" s="44" t="s">
        <v>432</v>
      </c>
      <c r="E207" s="20" t="s">
        <v>268</v>
      </c>
      <c r="F207" s="400">
        <f>SUM(F199:F206)</f>
        <v>0</v>
      </c>
      <c r="G207" s="99"/>
    </row>
    <row r="208" spans="1:7" x14ac:dyDescent="0.2">
      <c r="A208" s="134" t="s">
        <v>430</v>
      </c>
      <c r="B208" s="20"/>
      <c r="C208" s="20"/>
      <c r="D208" s="20" t="s">
        <v>440</v>
      </c>
      <c r="E208" s="20" t="s">
        <v>30</v>
      </c>
      <c r="F208" s="404">
        <f>F207*(F66+F67)</f>
        <v>0</v>
      </c>
      <c r="G208" s="87"/>
    </row>
    <row r="209" spans="1:10" x14ac:dyDescent="0.2">
      <c r="A209" s="139" t="s">
        <v>156</v>
      </c>
      <c r="B209" s="46"/>
      <c r="C209" s="46"/>
      <c r="D209" s="46" t="s">
        <v>295</v>
      </c>
      <c r="E209" s="20" t="s">
        <v>30</v>
      </c>
      <c r="F209" s="408">
        <f>F208+F197</f>
        <v>0</v>
      </c>
      <c r="G209" s="86"/>
    </row>
    <row r="210" spans="1:10" x14ac:dyDescent="0.2">
      <c r="A210" s="143" t="s">
        <v>160</v>
      </c>
      <c r="B210" s="54"/>
      <c r="C210" s="54"/>
      <c r="D210" s="54" t="s">
        <v>161</v>
      </c>
      <c r="E210" s="54" t="s">
        <v>30</v>
      </c>
      <c r="F210" s="409">
        <f>F209+F190+F184+F178+F175</f>
        <v>0</v>
      </c>
      <c r="G210" s="102"/>
    </row>
    <row r="211" spans="1:10" x14ac:dyDescent="0.2">
      <c r="A211" s="143"/>
      <c r="B211" s="54"/>
      <c r="C211" s="54"/>
      <c r="D211" s="54"/>
      <c r="E211" s="54"/>
      <c r="F211" s="409"/>
      <c r="G211" s="102"/>
    </row>
    <row r="212" spans="1:10" x14ac:dyDescent="0.2">
      <c r="A212" s="129">
        <v>3</v>
      </c>
      <c r="B212" s="24"/>
      <c r="C212" s="24"/>
      <c r="D212" s="24" t="s">
        <v>163</v>
      </c>
      <c r="E212" s="50" t="s">
        <v>1</v>
      </c>
      <c r="F212" s="398" t="s">
        <v>2</v>
      </c>
      <c r="G212" s="98"/>
    </row>
    <row r="213" spans="1:10" x14ac:dyDescent="0.2">
      <c r="A213" s="302" t="s">
        <v>162</v>
      </c>
      <c r="B213" s="52"/>
      <c r="C213" s="52"/>
      <c r="D213" s="52" t="s">
        <v>244</v>
      </c>
      <c r="E213" s="52" t="s">
        <v>30</v>
      </c>
      <c r="F213" s="410" t="e">
        <f>F210+F162</f>
        <v>#DIV/0!</v>
      </c>
      <c r="G213" s="93"/>
    </row>
    <row r="214" spans="1:10" x14ac:dyDescent="0.2">
      <c r="A214" s="141" t="s">
        <v>441</v>
      </c>
      <c r="B214" s="44"/>
      <c r="C214" s="44"/>
      <c r="D214" s="44" t="s">
        <v>431</v>
      </c>
      <c r="E214" s="44" t="s">
        <v>89</v>
      </c>
      <c r="F214" s="411">
        <v>0.05</v>
      </c>
      <c r="G214" s="103"/>
    </row>
    <row r="215" spans="1:10" x14ac:dyDescent="0.2">
      <c r="A215" s="144" t="s">
        <v>442</v>
      </c>
      <c r="B215" s="23"/>
      <c r="C215" s="23"/>
      <c r="D215" s="23" t="s">
        <v>527</v>
      </c>
      <c r="E215" s="22" t="s">
        <v>30</v>
      </c>
      <c r="F215" s="397" t="e">
        <f>F214*F213</f>
        <v>#DIV/0!</v>
      </c>
      <c r="G215" s="75"/>
    </row>
    <row r="216" spans="1:10" x14ac:dyDescent="0.2">
      <c r="A216" s="117"/>
      <c r="B216" s="22"/>
      <c r="C216" s="22"/>
      <c r="D216" s="23"/>
      <c r="E216" s="23"/>
      <c r="F216" s="397"/>
      <c r="G216" s="75"/>
    </row>
    <row r="217" spans="1:10" x14ac:dyDescent="0.2">
      <c r="A217" s="129">
        <v>4</v>
      </c>
      <c r="B217" s="24"/>
      <c r="C217" s="24"/>
      <c r="D217" s="24" t="s">
        <v>167</v>
      </c>
      <c r="E217" s="50" t="s">
        <v>1</v>
      </c>
      <c r="F217" s="398" t="s">
        <v>2</v>
      </c>
      <c r="G217" s="98"/>
    </row>
    <row r="218" spans="1:10" x14ac:dyDescent="0.2">
      <c r="A218" s="303" t="s">
        <v>164</v>
      </c>
      <c r="B218" s="51"/>
      <c r="C218" s="51"/>
      <c r="D218" s="51" t="s">
        <v>233</v>
      </c>
      <c r="E218" s="51" t="s">
        <v>30</v>
      </c>
      <c r="F218" s="412" t="e">
        <f>F213+F215</f>
        <v>#DIV/0!</v>
      </c>
      <c r="G218" s="75"/>
    </row>
    <row r="219" spans="1:10" x14ac:dyDescent="0.2">
      <c r="A219" s="141" t="s">
        <v>443</v>
      </c>
      <c r="B219" s="44"/>
      <c r="C219" s="44"/>
      <c r="D219" s="44" t="s">
        <v>449</v>
      </c>
      <c r="E219" s="44" t="s">
        <v>89</v>
      </c>
      <c r="F219" s="304"/>
      <c r="G219" s="104"/>
      <c r="J219" s="6"/>
    </row>
    <row r="220" spans="1:10" x14ac:dyDescent="0.2">
      <c r="A220" s="144" t="s">
        <v>165</v>
      </c>
      <c r="B220" s="23"/>
      <c r="C220" s="23"/>
      <c r="D220" s="23" t="s">
        <v>450</v>
      </c>
      <c r="E220" s="23" t="s">
        <v>30</v>
      </c>
      <c r="F220" s="397" t="e">
        <f>F218*F219</f>
        <v>#DIV/0!</v>
      </c>
      <c r="G220" s="75"/>
    </row>
    <row r="221" spans="1:10" x14ac:dyDescent="0.2">
      <c r="A221" s="117"/>
      <c r="B221" s="22"/>
      <c r="C221" s="22"/>
      <c r="D221" s="23"/>
      <c r="E221" s="23"/>
      <c r="F221" s="397"/>
      <c r="G221" s="75"/>
    </row>
    <row r="222" spans="1:10" x14ac:dyDescent="0.2">
      <c r="A222" s="129">
        <v>5</v>
      </c>
      <c r="B222" s="24"/>
      <c r="C222" s="24"/>
      <c r="D222" s="24" t="s">
        <v>168</v>
      </c>
      <c r="E222" s="50" t="s">
        <v>1</v>
      </c>
      <c r="F222" s="398" t="s">
        <v>2</v>
      </c>
      <c r="G222" s="98"/>
    </row>
    <row r="223" spans="1:10" x14ac:dyDescent="0.2">
      <c r="A223" s="302" t="s">
        <v>444</v>
      </c>
      <c r="B223" s="52"/>
      <c r="C223" s="52"/>
      <c r="D223" s="52" t="s">
        <v>451</v>
      </c>
      <c r="E223" s="52" t="s">
        <v>30</v>
      </c>
      <c r="F223" s="413" t="e">
        <f>F228*0.03</f>
        <v>#DIV/0!</v>
      </c>
      <c r="G223" s="93"/>
    </row>
    <row r="224" spans="1:10" x14ac:dyDescent="0.2">
      <c r="A224" s="141" t="s">
        <v>445</v>
      </c>
      <c r="B224" s="44"/>
      <c r="C224" s="44"/>
      <c r="D224" s="44" t="s">
        <v>452</v>
      </c>
      <c r="E224" s="44" t="s">
        <v>30</v>
      </c>
      <c r="F224" s="401" t="e">
        <f>F228*0.0065</f>
        <v>#DIV/0!</v>
      </c>
      <c r="G224" s="93"/>
    </row>
    <row r="225" spans="1:10" x14ac:dyDescent="0.2">
      <c r="A225" s="141" t="s">
        <v>166</v>
      </c>
      <c r="B225" s="44"/>
      <c r="C225" s="44"/>
      <c r="D225" s="44" t="s">
        <v>528</v>
      </c>
      <c r="E225" s="44" t="s">
        <v>30</v>
      </c>
      <c r="F225" s="401" t="e">
        <f>F228*0.02</f>
        <v>#DIV/0!</v>
      </c>
      <c r="G225" s="93"/>
    </row>
    <row r="226" spans="1:10" x14ac:dyDescent="0.2">
      <c r="A226" s="144" t="s">
        <v>446</v>
      </c>
      <c r="B226" s="23"/>
      <c r="C226" s="23"/>
      <c r="D226" s="23" t="s">
        <v>169</v>
      </c>
      <c r="E226" s="23" t="s">
        <v>30</v>
      </c>
      <c r="F226" s="397" t="e">
        <f>SUM(F223:F225)</f>
        <v>#DIV/0!</v>
      </c>
      <c r="G226" s="75"/>
    </row>
    <row r="227" spans="1:10" x14ac:dyDescent="0.2">
      <c r="A227" s="117"/>
      <c r="B227" s="22"/>
      <c r="C227" s="22"/>
      <c r="D227" s="23"/>
      <c r="E227" s="23"/>
      <c r="F227" s="397"/>
      <c r="G227" s="75"/>
      <c r="I227" s="13"/>
      <c r="J227" s="14"/>
    </row>
    <row r="228" spans="1:10" x14ac:dyDescent="0.2">
      <c r="A228" s="129">
        <v>6</v>
      </c>
      <c r="B228" s="24"/>
      <c r="C228" s="24"/>
      <c r="D228" s="24" t="s">
        <v>447</v>
      </c>
      <c r="E228" s="24" t="s">
        <v>30</v>
      </c>
      <c r="F228" s="414" t="e">
        <f>(F220+F218)/(1-0.0565)</f>
        <v>#DIV/0!</v>
      </c>
      <c r="G228" s="105"/>
      <c r="I228" s="60"/>
    </row>
    <row r="229" spans="1:10" x14ac:dyDescent="0.2">
      <c r="A229" s="117"/>
      <c r="B229" s="22"/>
      <c r="C229" s="22"/>
      <c r="D229" s="23"/>
      <c r="E229" s="23"/>
      <c r="F229" s="397"/>
      <c r="G229" s="75"/>
      <c r="I229" s="7"/>
    </row>
    <row r="230" spans="1:10" x14ac:dyDescent="0.2">
      <c r="A230" s="129">
        <v>7</v>
      </c>
      <c r="B230" s="24"/>
      <c r="C230" s="24"/>
      <c r="D230" s="55" t="s">
        <v>448</v>
      </c>
      <c r="E230" s="55" t="s">
        <v>170</v>
      </c>
      <c r="F230" s="414" t="e">
        <f>F228/F50</f>
        <v>#DIV/0!</v>
      </c>
      <c r="G230" s="105"/>
    </row>
    <row r="231" spans="1:10" x14ac:dyDescent="0.2">
      <c r="A231" s="305"/>
      <c r="B231" s="5"/>
      <c r="C231" s="5"/>
      <c r="D231" s="11"/>
      <c r="E231" s="11"/>
      <c r="F231" s="306"/>
      <c r="G231" s="106"/>
    </row>
    <row r="232" spans="1:10" x14ac:dyDescent="0.2">
      <c r="A232" s="139" t="s">
        <v>529</v>
      </c>
      <c r="B232" s="5"/>
      <c r="C232" s="5"/>
      <c r="D232" s="11"/>
      <c r="E232" s="11"/>
      <c r="F232" s="306"/>
      <c r="G232" s="107"/>
    </row>
    <row r="233" spans="1:10" x14ac:dyDescent="0.2">
      <c r="A233" s="350" t="s">
        <v>530</v>
      </c>
      <c r="B233" s="351"/>
      <c r="C233" s="351"/>
      <c r="D233" s="351"/>
      <c r="E233" s="351"/>
      <c r="F233" s="352"/>
      <c r="G233" s="108"/>
    </row>
    <row r="234" spans="1:10" ht="24" customHeight="1" x14ac:dyDescent="0.2">
      <c r="A234" s="347" t="s">
        <v>531</v>
      </c>
      <c r="B234" s="348"/>
      <c r="C234" s="348"/>
      <c r="D234" s="348"/>
      <c r="E234" s="348"/>
      <c r="F234" s="349"/>
      <c r="G234" s="109"/>
    </row>
    <row r="235" spans="1:10" ht="45" customHeight="1" x14ac:dyDescent="0.2">
      <c r="A235" s="347" t="s">
        <v>539</v>
      </c>
      <c r="B235" s="348"/>
      <c r="C235" s="348"/>
      <c r="D235" s="348"/>
      <c r="E235" s="348"/>
      <c r="F235" s="349"/>
      <c r="G235" s="109"/>
    </row>
    <row r="236" spans="1:10" x14ac:dyDescent="0.2">
      <c r="A236" s="344"/>
      <c r="B236" s="345"/>
      <c r="C236" s="345"/>
      <c r="D236" s="345"/>
      <c r="E236" s="345"/>
      <c r="F236" s="346"/>
      <c r="G236" s="110"/>
    </row>
    <row r="237" spans="1:10" x14ac:dyDescent="0.2">
      <c r="A237" s="344"/>
      <c r="B237" s="345"/>
      <c r="C237" s="345"/>
      <c r="D237" s="345"/>
      <c r="E237" s="345"/>
      <c r="F237" s="346"/>
      <c r="G237" s="110"/>
    </row>
    <row r="238" spans="1:10" x14ac:dyDescent="0.2">
      <c r="A238" s="321" t="s">
        <v>540</v>
      </c>
      <c r="B238" s="322"/>
      <c r="C238" s="322"/>
      <c r="D238" s="323"/>
      <c r="E238" s="322"/>
      <c r="F238" s="324"/>
    </row>
    <row r="239" spans="1:10" x14ac:dyDescent="0.2">
      <c r="A239" s="321" t="s">
        <v>541</v>
      </c>
      <c r="B239" s="322"/>
      <c r="C239" s="322"/>
      <c r="D239" s="323"/>
      <c r="E239" s="322"/>
      <c r="F239" s="324"/>
    </row>
    <row r="240" spans="1:10" x14ac:dyDescent="0.2">
      <c r="A240" s="321" t="s">
        <v>542</v>
      </c>
      <c r="B240" s="322"/>
      <c r="C240" s="322"/>
      <c r="D240" s="323"/>
      <c r="E240" s="322"/>
      <c r="F240" s="324"/>
    </row>
    <row r="241" spans="1:6" x14ac:dyDescent="0.2">
      <c r="A241" s="321" t="s">
        <v>543</v>
      </c>
      <c r="B241" s="322"/>
      <c r="C241" s="322"/>
      <c r="D241" s="323"/>
      <c r="E241" s="322"/>
      <c r="F241" s="324"/>
    </row>
    <row r="242" spans="1:6" x14ac:dyDescent="0.2">
      <c r="A242" s="321" t="s">
        <v>545</v>
      </c>
      <c r="B242" s="322"/>
      <c r="C242" s="322"/>
      <c r="D242" s="322"/>
      <c r="E242" s="322"/>
      <c r="F242" s="324"/>
    </row>
    <row r="243" spans="1:6" x14ac:dyDescent="0.2">
      <c r="A243" s="321" t="s">
        <v>544</v>
      </c>
      <c r="B243" s="322"/>
      <c r="C243" s="322"/>
      <c r="D243" s="322"/>
      <c r="E243" s="322" t="s">
        <v>546</v>
      </c>
      <c r="F243" s="324"/>
    </row>
    <row r="244" spans="1:6" x14ac:dyDescent="0.2">
      <c r="A244" s="321"/>
      <c r="B244" s="322"/>
      <c r="C244" s="322"/>
      <c r="D244" s="322"/>
      <c r="E244" s="322"/>
      <c r="F244" s="324"/>
    </row>
    <row r="245" spans="1:6" x14ac:dyDescent="0.2">
      <c r="A245" s="321"/>
      <c r="B245" s="322"/>
      <c r="C245" s="322"/>
      <c r="D245" s="322"/>
      <c r="E245" s="322"/>
      <c r="F245" s="324"/>
    </row>
    <row r="246" spans="1:6" x14ac:dyDescent="0.2">
      <c r="A246" s="321"/>
      <c r="B246" s="322"/>
      <c r="C246" s="322"/>
      <c r="D246" s="322"/>
      <c r="E246" s="322"/>
      <c r="F246" s="324"/>
    </row>
    <row r="247" spans="1:6" x14ac:dyDescent="0.2">
      <c r="A247" s="321"/>
      <c r="B247" s="322"/>
      <c r="C247" s="322"/>
      <c r="D247" s="322"/>
      <c r="E247" s="322"/>
      <c r="F247" s="324"/>
    </row>
  </sheetData>
  <sheetProtection password="81B6" sheet="1" objects="1" scenarios="1"/>
  <mergeCells count="8">
    <mergeCell ref="A5:F5"/>
    <mergeCell ref="A236:F237"/>
    <mergeCell ref="A235:F235"/>
    <mergeCell ref="A233:F233"/>
    <mergeCell ref="B6:F6"/>
    <mergeCell ref="B7:F7"/>
    <mergeCell ref="B8:D8"/>
    <mergeCell ref="A234:F234"/>
  </mergeCells>
  <conditionalFormatting sqref="G17">
    <cfRule type="cellIs" dxfId="97" priority="53" operator="greaterThan">
      <formula>15</formula>
    </cfRule>
  </conditionalFormatting>
  <conditionalFormatting sqref="F18">
    <cfRule type="cellIs" dxfId="96" priority="52" operator="greaterThan">
      <formula>2.82</formula>
    </cfRule>
  </conditionalFormatting>
  <conditionalFormatting sqref="F19">
    <cfRule type="cellIs" dxfId="95" priority="51" operator="greaterThan">
      <formula>3.13</formula>
    </cfRule>
  </conditionalFormatting>
  <conditionalFormatting sqref="F20">
    <cfRule type="cellIs" dxfId="94" priority="50" operator="greaterThan">
      <formula>2.92</formula>
    </cfRule>
  </conditionalFormatting>
  <conditionalFormatting sqref="F21">
    <cfRule type="cellIs" dxfId="93" priority="49" operator="greaterThan">
      <formula>1405</formula>
    </cfRule>
  </conditionalFormatting>
  <conditionalFormatting sqref="F22">
    <cfRule type="cellIs" dxfId="92" priority="48" operator="greaterThan">
      <formula>450</formula>
    </cfRule>
  </conditionalFormatting>
  <conditionalFormatting sqref="F23">
    <cfRule type="cellIs" dxfId="91" priority="47" operator="greaterThan">
      <formula>227</formula>
    </cfRule>
  </conditionalFormatting>
  <conditionalFormatting sqref="F24">
    <cfRule type="cellIs" dxfId="90" priority="46" operator="greaterThan">
      <formula>90</formula>
    </cfRule>
  </conditionalFormatting>
  <conditionalFormatting sqref="F25">
    <cfRule type="cellIs" dxfId="89" priority="45" operator="greaterThan">
      <formula>37</formula>
    </cfRule>
  </conditionalFormatting>
  <conditionalFormatting sqref="F26">
    <cfRule type="cellIs" dxfId="88" priority="44" operator="greaterThan">
      <formula>22.9</formula>
    </cfRule>
  </conditionalFormatting>
  <conditionalFormatting sqref="F27">
    <cfRule type="cellIs" dxfId="87" priority="43" operator="greaterThan">
      <formula>26.9</formula>
    </cfRule>
  </conditionalFormatting>
  <conditionalFormatting sqref="F28">
    <cfRule type="cellIs" dxfId="86" priority="42" operator="greaterThan">
      <formula>14</formula>
    </cfRule>
  </conditionalFormatting>
  <conditionalFormatting sqref="F29">
    <cfRule type="cellIs" dxfId="85" priority="41" operator="greaterThan">
      <formula>6.4</formula>
    </cfRule>
  </conditionalFormatting>
  <conditionalFormatting sqref="F30">
    <cfRule type="cellIs" dxfId="84" priority="40" operator="greaterThan">
      <formula>29.9</formula>
    </cfRule>
  </conditionalFormatting>
  <conditionalFormatting sqref="F31">
    <cfRule type="cellIs" dxfId="83" priority="39" operator="greaterThan">
      <formula>19</formula>
    </cfRule>
  </conditionalFormatting>
  <conditionalFormatting sqref="F32">
    <cfRule type="cellIs" dxfId="82" priority="38" operator="greaterThan">
      <formula>6.9</formula>
    </cfRule>
  </conditionalFormatting>
  <conditionalFormatting sqref="F33">
    <cfRule type="cellIs" dxfId="81" priority="37" operator="greaterThan">
      <formula>1187.64</formula>
    </cfRule>
  </conditionalFormatting>
  <conditionalFormatting sqref="F34">
    <cfRule type="cellIs" dxfId="80" priority="36" operator="greaterThan">
      <formula>897.84</formula>
    </cfRule>
  </conditionalFormatting>
  <conditionalFormatting sqref="F35">
    <cfRule type="cellIs" dxfId="79" priority="35" operator="greaterThan">
      <formula>1350</formula>
    </cfRule>
  </conditionalFormatting>
  <conditionalFormatting sqref="F36">
    <cfRule type="cellIs" dxfId="78" priority="34" operator="greaterThan">
      <formula>953.12</formula>
    </cfRule>
  </conditionalFormatting>
  <conditionalFormatting sqref="F37">
    <cfRule type="cellIs" dxfId="77" priority="33" operator="greaterThan">
      <formula>188829</formula>
    </cfRule>
  </conditionalFormatting>
  <conditionalFormatting sqref="F38">
    <cfRule type="cellIs" dxfId="76" priority="32" operator="greaterThan">
      <formula>82489.34</formula>
    </cfRule>
  </conditionalFormatting>
  <conditionalFormatting sqref="F39">
    <cfRule type="cellIs" dxfId="75" priority="31" operator="greaterThan">
      <formula>22731</formula>
    </cfRule>
  </conditionalFormatting>
  <conditionalFormatting sqref="F40">
    <cfRule type="cellIs" dxfId="74" priority="30" operator="greaterThan">
      <formula>10.2</formula>
    </cfRule>
  </conditionalFormatting>
  <conditionalFormatting sqref="F41">
    <cfRule type="cellIs" dxfId="73" priority="29" operator="greaterThan">
      <formula>2.45</formula>
    </cfRule>
  </conditionalFormatting>
  <conditionalFormatting sqref="F42">
    <cfRule type="cellIs" dxfId="72" priority="28" operator="greaterThan">
      <formula>0.7917</formula>
    </cfRule>
  </conditionalFormatting>
  <conditionalFormatting sqref="F43">
    <cfRule type="cellIs" dxfId="71" priority="27" operator="greaterThan">
      <formula>110.38</formula>
    </cfRule>
  </conditionalFormatting>
  <conditionalFormatting sqref="F44">
    <cfRule type="cellIs" dxfId="70" priority="26" operator="greaterThan">
      <formula>105.65</formula>
    </cfRule>
  </conditionalFormatting>
  <conditionalFormatting sqref="F45">
    <cfRule type="cellIs" dxfId="69" priority="25" operator="greaterThan">
      <formula>65.09</formula>
    </cfRule>
  </conditionalFormatting>
  <conditionalFormatting sqref="F46">
    <cfRule type="cellIs" dxfId="68" priority="24" operator="greaterThan">
      <formula>1888.29</formula>
    </cfRule>
  </conditionalFormatting>
  <conditionalFormatting sqref="F47">
    <cfRule type="cellIs" dxfId="67" priority="23" operator="greaterThan">
      <formula>681.93</formula>
    </cfRule>
  </conditionalFormatting>
  <conditionalFormatting sqref="F48">
    <cfRule type="cellIs" dxfId="66" priority="22" operator="greaterThan">
      <formula>7880.33</formula>
    </cfRule>
  </conditionalFormatting>
  <conditionalFormatting sqref="F49">
    <cfRule type="cellIs" dxfId="65" priority="21" operator="greaterThan">
      <formula>1593.06</formula>
    </cfRule>
  </conditionalFormatting>
  <conditionalFormatting sqref="F88">
    <cfRule type="cellIs" dxfId="64" priority="20" operator="greaterThan">
      <formula>0.48</formula>
    </cfRule>
  </conditionalFormatting>
  <conditionalFormatting sqref="F99">
    <cfRule type="cellIs" dxfId="63" priority="19" operator="greaterThan">
      <formula>85000</formula>
    </cfRule>
  </conditionalFormatting>
  <conditionalFormatting sqref="F103">
    <cfRule type="cellIs" dxfId="62" priority="18" operator="greaterThan">
      <formula>0.0083</formula>
    </cfRule>
  </conditionalFormatting>
  <conditionalFormatting sqref="F106">
    <cfRule type="cellIs" dxfId="61" priority="17" operator="greaterThan">
      <formula>0.0058</formula>
    </cfRule>
  </conditionalFormatting>
  <conditionalFormatting sqref="F111">
    <cfRule type="cellIs" dxfId="60" priority="16" operator="greaterThan">
      <formula>0.0078</formula>
    </cfRule>
  </conditionalFormatting>
  <conditionalFormatting sqref="F114">
    <cfRule type="cellIs" dxfId="59" priority="14" operator="greaterThan">
      <formula>0.0078</formula>
    </cfRule>
    <cfRule type="cellIs" dxfId="58" priority="15" operator="greaterThan">
      <formula>0.0078</formula>
    </cfRule>
  </conditionalFormatting>
  <conditionalFormatting sqref="F119">
    <cfRule type="cellIs" dxfId="57" priority="12" operator="greaterThan">
      <formula>0.0081</formula>
    </cfRule>
    <cfRule type="cellIs" dxfId="56" priority="13" operator="greaterThan">
      <formula>0.0081</formula>
    </cfRule>
  </conditionalFormatting>
  <conditionalFormatting sqref="F122">
    <cfRule type="cellIs" dxfId="55" priority="11" operator="greaterThan">
      <formula>0.0081</formula>
    </cfRule>
  </conditionalFormatting>
  <conditionalFormatting sqref="F136">
    <cfRule type="cellIs" dxfId="54" priority="10" operator="greaterThan">
      <formula>0.093</formula>
    </cfRule>
  </conditionalFormatting>
  <conditionalFormatting sqref="F143">
    <cfRule type="cellIs" dxfId="53" priority="9" operator="greaterThan">
      <formula>30000</formula>
    </cfRule>
  </conditionalFormatting>
  <conditionalFormatting sqref="F146">
    <cfRule type="cellIs" dxfId="52" priority="8" operator="greaterThan">
      <formula>0.0033</formula>
    </cfRule>
  </conditionalFormatting>
  <conditionalFormatting sqref="F150">
    <cfRule type="cellIs" dxfId="51" priority="7" operator="greaterThan">
      <formula>0.0054</formula>
    </cfRule>
  </conditionalFormatting>
  <conditionalFormatting sqref="F154">
    <cfRule type="cellIs" dxfId="50" priority="6" operator="greaterThan">
      <formula>0.0081</formula>
    </cfRule>
  </conditionalFormatting>
  <conditionalFormatting sqref="F214">
    <cfRule type="cellIs" dxfId="49" priority="4" operator="greaterThan">
      <formula>0.05</formula>
    </cfRule>
    <cfRule type="cellIs" dxfId="48" priority="5" operator="greaterThan">
      <formula>0.05</formula>
    </cfRule>
  </conditionalFormatting>
  <conditionalFormatting sqref="F219">
    <cfRule type="cellIs" dxfId="47" priority="1" operator="greaterThan">
      <formula>0.1</formula>
    </cfRule>
    <cfRule type="cellIs" dxfId="46" priority="3" operator="greaterThan">
      <formula>0.1</formula>
    </cfRule>
  </conditionalFormatting>
  <conditionalFormatting sqref="F230">
    <cfRule type="cellIs" dxfId="45" priority="2" operator="greaterThan">
      <formula>128.69</formula>
    </cfRule>
  </conditionalFormatting>
  <pageMargins left="0.59055118110236227" right="0.19685039370078741" top="0.78740157480314965" bottom="0.78740157480314965" header="0.31496062992125984" footer="0.31496062992125984"/>
  <pageSetup paperSize="9" fitToHeight="0" orientation="portrait" horizontalDpi="300" verticalDpi="0" r:id="rId1"/>
  <rowBreaks count="1" manualBreakCount="1">
    <brk id="247" max="5" man="1"/>
  </rowBreaks>
  <colBreaks count="1" manualBreakCount="1">
    <brk id="5" max="24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2"/>
  <sheetViews>
    <sheetView showGridLines="0" tabSelected="1" view="pageBreakPreview" topLeftCell="A55" zoomScale="110" zoomScaleNormal="100" zoomScaleSheetLayoutView="110" workbookViewId="0">
      <selection activeCell="A230" sqref="A230:F231"/>
    </sheetView>
  </sheetViews>
  <sheetFormatPr defaultRowHeight="15" x14ac:dyDescent="0.25"/>
  <cols>
    <col min="1" max="1" width="4.85546875" customWidth="1"/>
    <col min="2" max="2" width="1.85546875" customWidth="1"/>
    <col min="3" max="3" width="0.85546875" customWidth="1"/>
    <col min="4" max="4" width="61.42578125" bestFit="1" customWidth="1"/>
    <col min="5" max="5" width="13.28515625" bestFit="1" customWidth="1"/>
    <col min="6" max="6" width="9.28515625" customWidth="1"/>
    <col min="7" max="7" width="10.140625" bestFit="1" customWidth="1"/>
    <col min="8" max="8" width="9.5703125" bestFit="1" customWidth="1"/>
  </cols>
  <sheetData>
    <row r="1" spans="1:8" x14ac:dyDescent="0.25">
      <c r="A1" s="328" t="s">
        <v>547</v>
      </c>
      <c r="B1" s="329"/>
      <c r="C1" s="329"/>
      <c r="D1" s="329"/>
      <c r="E1" s="329"/>
      <c r="F1" s="330"/>
    </row>
    <row r="2" spans="1:8" x14ac:dyDescent="0.25">
      <c r="A2" s="331"/>
      <c r="B2" s="332"/>
      <c r="C2" s="332"/>
      <c r="D2" s="332"/>
      <c r="E2" s="332"/>
      <c r="F2" s="333"/>
    </row>
    <row r="3" spans="1:8" x14ac:dyDescent="0.25">
      <c r="A3" s="331"/>
      <c r="B3" s="332"/>
      <c r="C3" s="332"/>
      <c r="D3" s="332"/>
      <c r="E3" s="332"/>
      <c r="F3" s="333"/>
    </row>
    <row r="4" spans="1:8" x14ac:dyDescent="0.25">
      <c r="A4" s="334"/>
      <c r="B4" s="335"/>
      <c r="C4" s="335"/>
      <c r="D4" s="335"/>
      <c r="E4" s="335"/>
      <c r="F4" s="336"/>
    </row>
    <row r="5" spans="1:8" x14ac:dyDescent="0.25">
      <c r="A5" s="341" t="s">
        <v>549</v>
      </c>
      <c r="B5" s="342"/>
      <c r="C5" s="342"/>
      <c r="D5" s="342"/>
      <c r="E5" s="342"/>
      <c r="F5" s="343"/>
    </row>
    <row r="6" spans="1:8" ht="15" customHeight="1" x14ac:dyDescent="0.25">
      <c r="A6" s="367"/>
      <c r="B6" s="368"/>
      <c r="C6" s="368"/>
      <c r="D6" s="368"/>
      <c r="E6" s="368"/>
      <c r="F6" s="369"/>
      <c r="G6" s="12"/>
      <c r="H6" s="12"/>
    </row>
    <row r="7" spans="1:8" s="150" customFormat="1" ht="15.75" customHeight="1" x14ac:dyDescent="0.2">
      <c r="A7" s="370" t="s">
        <v>520</v>
      </c>
      <c r="B7" s="371"/>
      <c r="C7" s="371"/>
      <c r="D7" s="371"/>
      <c r="E7" s="371"/>
      <c r="F7" s="372"/>
      <c r="G7" s="149"/>
      <c r="H7" s="149"/>
    </row>
    <row r="8" spans="1:8" s="150" customFormat="1" ht="12" x14ac:dyDescent="0.2">
      <c r="A8" s="151" t="s">
        <v>0</v>
      </c>
      <c r="B8" s="366" t="s">
        <v>181</v>
      </c>
      <c r="C8" s="366"/>
      <c r="D8" s="366"/>
      <c r="E8" s="152" t="s">
        <v>1</v>
      </c>
      <c r="F8" s="153" t="s">
        <v>2</v>
      </c>
      <c r="G8" s="154"/>
      <c r="H8" s="154"/>
    </row>
    <row r="9" spans="1:8" s="150" customFormat="1" ht="12" x14ac:dyDescent="0.2">
      <c r="A9" s="155" t="s">
        <v>3</v>
      </c>
      <c r="B9" s="156"/>
      <c r="C9" s="156"/>
      <c r="D9" s="156" t="s">
        <v>4</v>
      </c>
      <c r="E9" s="156" t="s">
        <v>5</v>
      </c>
      <c r="F9" s="415">
        <v>309.07</v>
      </c>
      <c r="G9" s="157"/>
    </row>
    <row r="10" spans="1:8" s="150" customFormat="1" ht="12" x14ac:dyDescent="0.2">
      <c r="A10" s="158" t="s">
        <v>6</v>
      </c>
      <c r="B10" s="159"/>
      <c r="C10" s="159"/>
      <c r="D10" s="159" t="s">
        <v>319</v>
      </c>
      <c r="E10" s="159" t="s">
        <v>7</v>
      </c>
      <c r="F10" s="416">
        <f>F9/12</f>
        <v>25.755833333333332</v>
      </c>
      <c r="G10" s="160"/>
    </row>
    <row r="11" spans="1:8" s="150" customFormat="1" ht="12" x14ac:dyDescent="0.2">
      <c r="A11" s="158" t="s">
        <v>8</v>
      </c>
      <c r="B11" s="159"/>
      <c r="C11" s="159"/>
      <c r="D11" s="159" t="s">
        <v>455</v>
      </c>
      <c r="E11" s="159" t="s">
        <v>285</v>
      </c>
      <c r="F11" s="416">
        <f>365.25/12/7</f>
        <v>4.3482142857142856</v>
      </c>
      <c r="G11" s="160"/>
    </row>
    <row r="12" spans="1:8" s="150" customFormat="1" ht="12" x14ac:dyDescent="0.2">
      <c r="A12" s="158" t="s">
        <v>11</v>
      </c>
      <c r="B12" s="159"/>
      <c r="C12" s="159"/>
      <c r="D12" s="159" t="s">
        <v>521</v>
      </c>
      <c r="E12" s="159" t="s">
        <v>222</v>
      </c>
      <c r="F12" s="416">
        <f>(60-25)*2</f>
        <v>70</v>
      </c>
    </row>
    <row r="13" spans="1:8" s="150" customFormat="1" ht="12" x14ac:dyDescent="0.2">
      <c r="A13" s="158" t="s">
        <v>12</v>
      </c>
      <c r="B13" s="159"/>
      <c r="C13" s="159"/>
      <c r="D13" s="159" t="s">
        <v>286</v>
      </c>
      <c r="E13" s="159" t="s">
        <v>222</v>
      </c>
      <c r="F13" s="416">
        <v>160</v>
      </c>
    </row>
    <row r="14" spans="1:8" s="150" customFormat="1" ht="12" x14ac:dyDescent="0.2">
      <c r="A14" s="158" t="s">
        <v>13</v>
      </c>
      <c r="B14" s="159"/>
      <c r="C14" s="159"/>
      <c r="D14" s="159" t="s">
        <v>287</v>
      </c>
      <c r="E14" s="159" t="s">
        <v>222</v>
      </c>
      <c r="F14" s="416">
        <v>180</v>
      </c>
    </row>
    <row r="15" spans="1:8" s="150" customFormat="1" ht="12" x14ac:dyDescent="0.2">
      <c r="A15" s="158" t="s">
        <v>14</v>
      </c>
      <c r="B15" s="159"/>
      <c r="C15" s="159"/>
      <c r="D15" s="159" t="s">
        <v>290</v>
      </c>
      <c r="E15" s="159" t="s">
        <v>222</v>
      </c>
      <c r="F15" s="416">
        <v>159</v>
      </c>
    </row>
    <row r="16" spans="1:8" s="150" customFormat="1" ht="12" x14ac:dyDescent="0.2">
      <c r="A16" s="158" t="s">
        <v>16</v>
      </c>
      <c r="B16" s="159"/>
      <c r="C16" s="159"/>
      <c r="D16" s="159" t="s">
        <v>288</v>
      </c>
      <c r="E16" s="159" t="s">
        <v>222</v>
      </c>
      <c r="F16" s="416">
        <v>403</v>
      </c>
    </row>
    <row r="17" spans="1:14" s="150" customFormat="1" ht="12" x14ac:dyDescent="0.2">
      <c r="A17" s="158" t="s">
        <v>18</v>
      </c>
      <c r="B17" s="159"/>
      <c r="C17" s="159"/>
      <c r="D17" s="159" t="s">
        <v>234</v>
      </c>
      <c r="E17" s="159" t="s">
        <v>222</v>
      </c>
      <c r="F17" s="416">
        <v>15</v>
      </c>
    </row>
    <row r="18" spans="1:14" s="150" customFormat="1" ht="12" x14ac:dyDescent="0.2">
      <c r="A18" s="158" t="s">
        <v>299</v>
      </c>
      <c r="B18" s="159"/>
      <c r="C18" s="159"/>
      <c r="D18" s="159" t="s">
        <v>523</v>
      </c>
      <c r="E18" s="159" t="s">
        <v>15</v>
      </c>
      <c r="F18" s="310"/>
    </row>
    <row r="19" spans="1:14" s="150" customFormat="1" ht="12" x14ac:dyDescent="0.2">
      <c r="A19" s="158" t="s">
        <v>300</v>
      </c>
      <c r="B19" s="159"/>
      <c r="C19" s="159"/>
      <c r="D19" s="159" t="s">
        <v>204</v>
      </c>
      <c r="E19" s="159" t="s">
        <v>15</v>
      </c>
      <c r="F19" s="310"/>
    </row>
    <row r="20" spans="1:14" s="150" customFormat="1" ht="12" x14ac:dyDescent="0.2">
      <c r="A20" s="158" t="s">
        <v>19</v>
      </c>
      <c r="B20" s="159"/>
      <c r="C20" s="159"/>
      <c r="D20" s="159" t="s">
        <v>269</v>
      </c>
      <c r="E20" s="159" t="s">
        <v>15</v>
      </c>
      <c r="F20" s="310"/>
    </row>
    <row r="21" spans="1:14" s="150" customFormat="1" ht="12" x14ac:dyDescent="0.2">
      <c r="A21" s="158" t="s">
        <v>20</v>
      </c>
      <c r="B21" s="159"/>
      <c r="C21" s="159"/>
      <c r="D21" s="159" t="s">
        <v>225</v>
      </c>
      <c r="E21" s="159" t="s">
        <v>17</v>
      </c>
      <c r="F21" s="310"/>
    </row>
    <row r="22" spans="1:14" s="150" customFormat="1" ht="12" x14ac:dyDescent="0.2">
      <c r="A22" s="158" t="s">
        <v>21</v>
      </c>
      <c r="B22" s="159"/>
      <c r="C22" s="159"/>
      <c r="D22" s="159" t="s">
        <v>226</v>
      </c>
      <c r="E22" s="159" t="s">
        <v>17</v>
      </c>
      <c r="F22" s="310"/>
    </row>
    <row r="23" spans="1:14" s="150" customFormat="1" ht="12" x14ac:dyDescent="0.2">
      <c r="A23" s="158" t="s">
        <v>22</v>
      </c>
      <c r="B23" s="159"/>
      <c r="C23" s="159"/>
      <c r="D23" s="159" t="s">
        <v>227</v>
      </c>
      <c r="E23" s="159" t="s">
        <v>17</v>
      </c>
      <c r="F23" s="161"/>
    </row>
    <row r="24" spans="1:14" s="150" customFormat="1" ht="12" x14ac:dyDescent="0.2">
      <c r="A24" s="158" t="s">
        <v>24</v>
      </c>
      <c r="B24" s="159"/>
      <c r="C24" s="159"/>
      <c r="D24" s="159" t="s">
        <v>172</v>
      </c>
      <c r="E24" s="159" t="s">
        <v>173</v>
      </c>
      <c r="F24" s="161"/>
    </row>
    <row r="25" spans="1:14" s="150" customFormat="1" ht="12" x14ac:dyDescent="0.2">
      <c r="A25" s="158" t="s">
        <v>26</v>
      </c>
      <c r="B25" s="162"/>
      <c r="C25" s="162"/>
      <c r="D25" s="162" t="s">
        <v>273</v>
      </c>
      <c r="E25" s="159" t="s">
        <v>17</v>
      </c>
      <c r="F25" s="163"/>
      <c r="I25" s="164"/>
      <c r="J25" s="164"/>
      <c r="K25" s="164"/>
      <c r="L25" s="164"/>
      <c r="M25" s="164"/>
      <c r="N25" s="165"/>
    </row>
    <row r="26" spans="1:14" s="150" customFormat="1" ht="12" x14ac:dyDescent="0.2">
      <c r="A26" s="158" t="s">
        <v>27</v>
      </c>
      <c r="B26" s="58"/>
      <c r="C26" s="58"/>
      <c r="D26" s="58" t="s">
        <v>274</v>
      </c>
      <c r="E26" s="159" t="s">
        <v>17</v>
      </c>
      <c r="F26" s="163"/>
      <c r="I26" s="164"/>
      <c r="J26" s="164"/>
      <c r="K26" s="164"/>
      <c r="L26" s="164"/>
      <c r="M26" s="164"/>
      <c r="N26" s="165"/>
    </row>
    <row r="27" spans="1:14" s="150" customFormat="1" ht="12" x14ac:dyDescent="0.2">
      <c r="A27" s="158" t="s">
        <v>29</v>
      </c>
      <c r="B27" s="58"/>
      <c r="C27" s="58"/>
      <c r="D27" s="58" t="s">
        <v>275</v>
      </c>
      <c r="E27" s="159" t="s">
        <v>17</v>
      </c>
      <c r="F27" s="163"/>
      <c r="I27" s="154"/>
      <c r="J27" s="154"/>
      <c r="K27" s="154"/>
      <c r="L27" s="154"/>
      <c r="M27" s="154" t="s">
        <v>298</v>
      </c>
      <c r="N27" s="154"/>
    </row>
    <row r="28" spans="1:14" s="150" customFormat="1" ht="12" x14ac:dyDescent="0.2">
      <c r="A28" s="158" t="s">
        <v>31</v>
      </c>
      <c r="B28" s="58"/>
      <c r="C28" s="58"/>
      <c r="D28" s="58" t="s">
        <v>230</v>
      </c>
      <c r="E28" s="159" t="s">
        <v>17</v>
      </c>
      <c r="F28" s="163"/>
      <c r="I28" s="154"/>
      <c r="J28" s="154"/>
      <c r="K28" s="154"/>
      <c r="L28" s="154"/>
      <c r="M28" s="154"/>
      <c r="N28" s="154"/>
    </row>
    <row r="29" spans="1:14" s="150" customFormat="1" ht="12" x14ac:dyDescent="0.2">
      <c r="A29" s="158" t="s">
        <v>33</v>
      </c>
      <c r="B29" s="58"/>
      <c r="C29" s="58"/>
      <c r="D29" s="58" t="s">
        <v>23</v>
      </c>
      <c r="E29" s="159" t="s">
        <v>17</v>
      </c>
      <c r="F29" s="163"/>
    </row>
    <row r="30" spans="1:14" s="150" customFormat="1" ht="12" x14ac:dyDescent="0.2">
      <c r="A30" s="158" t="s">
        <v>34</v>
      </c>
      <c r="B30" s="58"/>
      <c r="C30" s="58"/>
      <c r="D30" s="58" t="s">
        <v>25</v>
      </c>
      <c r="E30" s="159" t="s">
        <v>17</v>
      </c>
      <c r="F30" s="310"/>
    </row>
    <row r="31" spans="1:14" s="150" customFormat="1" ht="12" x14ac:dyDescent="0.2">
      <c r="A31" s="158" t="s">
        <v>36</v>
      </c>
      <c r="B31" s="58"/>
      <c r="C31" s="58"/>
      <c r="D31" s="58" t="s">
        <v>535</v>
      </c>
      <c r="E31" s="159" t="s">
        <v>17</v>
      </c>
      <c r="F31" s="310"/>
    </row>
    <row r="32" spans="1:14" s="150" customFormat="1" ht="12" x14ac:dyDescent="0.2">
      <c r="A32" s="158" t="s">
        <v>37</v>
      </c>
      <c r="B32" s="58"/>
      <c r="C32" s="58"/>
      <c r="D32" s="58" t="s">
        <v>28</v>
      </c>
      <c r="E32" s="159" t="s">
        <v>17</v>
      </c>
      <c r="F32" s="310"/>
    </row>
    <row r="33" spans="1:6" s="150" customFormat="1" ht="12" x14ac:dyDescent="0.2">
      <c r="A33" s="158" t="s">
        <v>39</v>
      </c>
      <c r="B33" s="159"/>
      <c r="C33" s="159"/>
      <c r="D33" s="159" t="s">
        <v>522</v>
      </c>
      <c r="E33" s="159" t="s">
        <v>30</v>
      </c>
      <c r="F33" s="310"/>
    </row>
    <row r="34" spans="1:6" s="150" customFormat="1" ht="12" x14ac:dyDescent="0.2">
      <c r="A34" s="158" t="s">
        <v>40</v>
      </c>
      <c r="B34" s="159"/>
      <c r="C34" s="159"/>
      <c r="D34" s="159" t="s">
        <v>32</v>
      </c>
      <c r="E34" s="159" t="s">
        <v>30</v>
      </c>
      <c r="F34" s="310"/>
    </row>
    <row r="35" spans="1:6" s="150" customFormat="1" ht="12" x14ac:dyDescent="0.2">
      <c r="A35" s="158" t="s">
        <v>42</v>
      </c>
      <c r="B35" s="159"/>
      <c r="C35" s="159"/>
      <c r="D35" s="159" t="s">
        <v>277</v>
      </c>
      <c r="E35" s="159" t="s">
        <v>30</v>
      </c>
      <c r="F35" s="310"/>
    </row>
    <row r="36" spans="1:6" s="150" customFormat="1" ht="12" x14ac:dyDescent="0.2">
      <c r="A36" s="158" t="s">
        <v>45</v>
      </c>
      <c r="B36" s="159"/>
      <c r="C36" s="159"/>
      <c r="D36" s="159" t="s">
        <v>35</v>
      </c>
      <c r="E36" s="159" t="s">
        <v>30</v>
      </c>
      <c r="F36" s="310"/>
    </row>
    <row r="37" spans="1:6" s="150" customFormat="1" ht="12" x14ac:dyDescent="0.2">
      <c r="A37" s="158" t="s">
        <v>47</v>
      </c>
      <c r="B37" s="166"/>
      <c r="C37" s="166"/>
      <c r="D37" s="166" t="s">
        <v>278</v>
      </c>
      <c r="E37" s="159" t="s">
        <v>17</v>
      </c>
      <c r="F37" s="310"/>
    </row>
    <row r="38" spans="1:6" s="150" customFormat="1" ht="12" x14ac:dyDescent="0.2">
      <c r="A38" s="158" t="s">
        <v>48</v>
      </c>
      <c r="B38" s="166"/>
      <c r="C38" s="166"/>
      <c r="D38" s="166" t="s">
        <v>245</v>
      </c>
      <c r="E38" s="159" t="s">
        <v>17</v>
      </c>
      <c r="F38" s="310"/>
    </row>
    <row r="39" spans="1:6" s="150" customFormat="1" ht="12" x14ac:dyDescent="0.2">
      <c r="A39" s="158" t="s">
        <v>49</v>
      </c>
      <c r="B39" s="159"/>
      <c r="C39" s="159"/>
      <c r="D39" s="159" t="s">
        <v>203</v>
      </c>
      <c r="E39" s="159" t="s">
        <v>17</v>
      </c>
      <c r="F39" s="167"/>
    </row>
    <row r="40" spans="1:6" s="150" customFormat="1" ht="12" x14ac:dyDescent="0.2">
      <c r="A40" s="158" t="s">
        <v>297</v>
      </c>
      <c r="B40" s="159"/>
      <c r="C40" s="159"/>
      <c r="D40" s="159" t="s">
        <v>279</v>
      </c>
      <c r="E40" s="159" t="s">
        <v>30</v>
      </c>
      <c r="F40" s="310"/>
    </row>
    <row r="41" spans="1:6" s="150" customFormat="1" ht="12" x14ac:dyDescent="0.2">
      <c r="A41" s="158" t="s">
        <v>301</v>
      </c>
      <c r="B41" s="159"/>
      <c r="C41" s="159"/>
      <c r="D41" s="159" t="s">
        <v>41</v>
      </c>
      <c r="E41" s="159" t="s">
        <v>17</v>
      </c>
      <c r="F41" s="310"/>
    </row>
    <row r="42" spans="1:6" s="150" customFormat="1" ht="12" x14ac:dyDescent="0.2">
      <c r="A42" s="158" t="s">
        <v>302</v>
      </c>
      <c r="B42" s="159"/>
      <c r="C42" s="159"/>
      <c r="D42" s="159" t="s">
        <v>43</v>
      </c>
      <c r="E42" s="159" t="s">
        <v>44</v>
      </c>
      <c r="F42" s="247"/>
    </row>
    <row r="43" spans="1:6" s="150" customFormat="1" ht="12" x14ac:dyDescent="0.2">
      <c r="A43" s="158" t="s">
        <v>303</v>
      </c>
      <c r="B43" s="159"/>
      <c r="C43" s="159"/>
      <c r="D43" s="159" t="s">
        <v>205</v>
      </c>
      <c r="E43" s="159" t="s">
        <v>46</v>
      </c>
      <c r="F43" s="310"/>
    </row>
    <row r="44" spans="1:6" s="150" customFormat="1" ht="12" x14ac:dyDescent="0.2">
      <c r="A44" s="158" t="s">
        <v>304</v>
      </c>
      <c r="B44" s="159"/>
      <c r="C44" s="159"/>
      <c r="D44" s="159" t="s">
        <v>206</v>
      </c>
      <c r="E44" s="159" t="s">
        <v>46</v>
      </c>
      <c r="F44" s="310"/>
    </row>
    <row r="45" spans="1:6" s="150" customFormat="1" ht="12" x14ac:dyDescent="0.2">
      <c r="A45" s="158" t="s">
        <v>305</v>
      </c>
      <c r="B45" s="159"/>
      <c r="C45" s="159"/>
      <c r="D45" s="159" t="s">
        <v>177</v>
      </c>
      <c r="E45" s="159" t="s">
        <v>46</v>
      </c>
      <c r="F45" s="310"/>
    </row>
    <row r="46" spans="1:6" s="150" customFormat="1" ht="12" x14ac:dyDescent="0.2">
      <c r="A46" s="158" t="s">
        <v>306</v>
      </c>
      <c r="B46" s="159"/>
      <c r="C46" s="159"/>
      <c r="D46" s="159" t="s">
        <v>532</v>
      </c>
      <c r="E46" s="159" t="s">
        <v>46</v>
      </c>
      <c r="F46" s="311"/>
    </row>
    <row r="47" spans="1:6" s="150" customFormat="1" ht="12" x14ac:dyDescent="0.2">
      <c r="A47" s="158" t="s">
        <v>307</v>
      </c>
      <c r="B47" s="159"/>
      <c r="C47" s="159"/>
      <c r="D47" s="159" t="s">
        <v>321</v>
      </c>
      <c r="E47" s="159" t="s">
        <v>46</v>
      </c>
      <c r="F47" s="311"/>
    </row>
    <row r="48" spans="1:6" s="150" customFormat="1" ht="12" x14ac:dyDescent="0.2">
      <c r="A48" s="158" t="s">
        <v>308</v>
      </c>
      <c r="B48" s="58"/>
      <c r="C48" s="58"/>
      <c r="D48" s="58" t="s">
        <v>453</v>
      </c>
      <c r="E48" s="58" t="s">
        <v>246</v>
      </c>
      <c r="F48" s="312"/>
    </row>
    <row r="49" spans="1:6" s="150" customFormat="1" ht="12" x14ac:dyDescent="0.2">
      <c r="A49" s="158" t="s">
        <v>309</v>
      </c>
      <c r="B49" s="168"/>
      <c r="C49" s="168"/>
      <c r="D49" s="168" t="s">
        <v>454</v>
      </c>
      <c r="E49" s="168" t="s">
        <v>246</v>
      </c>
      <c r="F49" s="313"/>
    </row>
    <row r="50" spans="1:6" s="150" customFormat="1" ht="12" x14ac:dyDescent="0.2">
      <c r="A50" s="169"/>
      <c r="B50" s="170"/>
      <c r="C50" s="170"/>
      <c r="D50" s="170"/>
      <c r="E50" s="170"/>
      <c r="F50" s="171"/>
    </row>
    <row r="51" spans="1:6" s="150" customFormat="1" ht="12" x14ac:dyDescent="0.2">
      <c r="A51" s="172" t="s">
        <v>52</v>
      </c>
      <c r="B51" s="173" t="s">
        <v>53</v>
      </c>
      <c r="C51" s="173"/>
      <c r="D51" s="174"/>
      <c r="E51" s="173"/>
      <c r="F51" s="175"/>
    </row>
    <row r="52" spans="1:6" s="150" customFormat="1" ht="12" x14ac:dyDescent="0.2">
      <c r="A52" s="176" t="s">
        <v>54</v>
      </c>
      <c r="B52" s="177" t="s">
        <v>292</v>
      </c>
      <c r="C52" s="177"/>
      <c r="D52" s="178"/>
      <c r="E52" s="177"/>
      <c r="F52" s="179"/>
    </row>
    <row r="53" spans="1:6" s="150" customFormat="1" ht="12" x14ac:dyDescent="0.2">
      <c r="A53" s="158" t="s">
        <v>57</v>
      </c>
      <c r="B53" s="166"/>
      <c r="C53" s="166"/>
      <c r="D53" s="166" t="s">
        <v>55</v>
      </c>
      <c r="E53" s="159" t="s">
        <v>56</v>
      </c>
      <c r="F53" s="417">
        <v>2</v>
      </c>
    </row>
    <row r="54" spans="1:6" s="150" customFormat="1" ht="12" x14ac:dyDescent="0.2">
      <c r="A54" s="180" t="s">
        <v>59</v>
      </c>
      <c r="B54" s="59"/>
      <c r="C54" s="59"/>
      <c r="D54" s="59" t="s">
        <v>247</v>
      </c>
      <c r="E54" s="159" t="s">
        <v>56</v>
      </c>
      <c r="F54" s="418">
        <v>0</v>
      </c>
    </row>
    <row r="55" spans="1:6" s="150" customFormat="1" ht="12" x14ac:dyDescent="0.2">
      <c r="A55" s="158" t="s">
        <v>61</v>
      </c>
      <c r="B55" s="159"/>
      <c r="C55" s="159"/>
      <c r="D55" s="159" t="s">
        <v>60</v>
      </c>
      <c r="E55" s="159" t="s">
        <v>56</v>
      </c>
      <c r="F55" s="419">
        <v>0</v>
      </c>
    </row>
    <row r="56" spans="1:6" s="150" customFormat="1" ht="12" x14ac:dyDescent="0.2">
      <c r="A56" s="180" t="s">
        <v>209</v>
      </c>
      <c r="B56" s="181" t="s">
        <v>293</v>
      </c>
      <c r="C56" s="181"/>
      <c r="D56" s="182"/>
      <c r="E56" s="183" t="s">
        <v>56</v>
      </c>
      <c r="F56" s="417">
        <v>2</v>
      </c>
    </row>
    <row r="57" spans="1:6" s="150" customFormat="1" ht="12" x14ac:dyDescent="0.2">
      <c r="A57" s="184" t="s">
        <v>210</v>
      </c>
      <c r="B57" s="183" t="s">
        <v>238</v>
      </c>
      <c r="C57" s="183"/>
      <c r="D57" s="183"/>
      <c r="E57" s="183"/>
      <c r="F57" s="417"/>
    </row>
    <row r="58" spans="1:6" s="150" customFormat="1" ht="12" x14ac:dyDescent="0.2">
      <c r="A58" s="180" t="s">
        <v>311</v>
      </c>
      <c r="B58" s="159"/>
      <c r="C58" s="159"/>
      <c r="D58" s="159" t="s">
        <v>208</v>
      </c>
      <c r="E58" s="159" t="s">
        <v>56</v>
      </c>
      <c r="F58" s="419">
        <v>1</v>
      </c>
    </row>
    <row r="59" spans="1:6" s="150" customFormat="1" ht="12" x14ac:dyDescent="0.2">
      <c r="A59" s="184" t="s">
        <v>312</v>
      </c>
      <c r="B59" s="159"/>
      <c r="C59" s="159"/>
      <c r="D59" s="183" t="s">
        <v>207</v>
      </c>
      <c r="E59" s="183" t="s">
        <v>56</v>
      </c>
      <c r="F59" s="417">
        <v>1</v>
      </c>
    </row>
    <row r="60" spans="1:6" s="150" customFormat="1" ht="12" x14ac:dyDescent="0.2">
      <c r="A60" s="185" t="s">
        <v>313</v>
      </c>
      <c r="B60" s="186" t="s">
        <v>211</v>
      </c>
      <c r="C60" s="186"/>
      <c r="D60" s="168"/>
      <c r="E60" s="186" t="s">
        <v>56</v>
      </c>
      <c r="F60" s="420">
        <f>F59+F56</f>
        <v>3</v>
      </c>
    </row>
    <row r="61" spans="1:6" s="150" customFormat="1" ht="12" x14ac:dyDescent="0.2">
      <c r="A61" s="187"/>
      <c r="B61" s="170"/>
      <c r="C61" s="170"/>
      <c r="D61" s="170"/>
      <c r="E61" s="170"/>
      <c r="F61" s="171"/>
    </row>
    <row r="62" spans="1:6" s="150" customFormat="1" ht="12" x14ac:dyDescent="0.2">
      <c r="A62" s="188" t="s">
        <v>62</v>
      </c>
      <c r="B62" s="189" t="s">
        <v>280</v>
      </c>
      <c r="C62" s="189"/>
      <c r="D62" s="174"/>
      <c r="E62" s="189"/>
      <c r="F62" s="190"/>
    </row>
    <row r="63" spans="1:6" s="150" customFormat="1" ht="12" x14ac:dyDescent="0.2">
      <c r="A63" s="155" t="s">
        <v>64</v>
      </c>
      <c r="B63" s="191"/>
      <c r="C63" s="191"/>
      <c r="D63" s="191" t="s">
        <v>281</v>
      </c>
      <c r="E63" s="191" t="s">
        <v>193</v>
      </c>
      <c r="F63" s="421">
        <v>2</v>
      </c>
    </row>
    <row r="64" spans="1:6" s="150" customFormat="1" ht="12" x14ac:dyDescent="0.2">
      <c r="A64" s="192" t="s">
        <v>66</v>
      </c>
      <c r="B64" s="159"/>
      <c r="C64" s="159"/>
      <c r="D64" s="159" t="s">
        <v>282</v>
      </c>
      <c r="E64" s="162" t="s">
        <v>193</v>
      </c>
      <c r="F64" s="422">
        <v>0</v>
      </c>
    </row>
    <row r="65" spans="1:6" s="150" customFormat="1" ht="12" x14ac:dyDescent="0.2">
      <c r="A65" s="158" t="s">
        <v>67</v>
      </c>
      <c r="B65" s="159"/>
      <c r="C65" s="159"/>
      <c r="D65" s="159" t="s">
        <v>283</v>
      </c>
      <c r="E65" s="162" t="s">
        <v>193</v>
      </c>
      <c r="F65" s="423">
        <f>F63*3</f>
        <v>6</v>
      </c>
    </row>
    <row r="66" spans="1:6" s="150" customFormat="1" ht="12" x14ac:dyDescent="0.2">
      <c r="A66" s="192" t="s">
        <v>68</v>
      </c>
      <c r="B66" s="159"/>
      <c r="C66" s="159"/>
      <c r="D66" s="159" t="s">
        <v>284</v>
      </c>
      <c r="E66" s="162" t="s">
        <v>193</v>
      </c>
      <c r="F66" s="423">
        <v>0</v>
      </c>
    </row>
    <row r="67" spans="1:6" s="150" customFormat="1" ht="12" x14ac:dyDescent="0.2">
      <c r="A67" s="158" t="s">
        <v>69</v>
      </c>
      <c r="B67" s="183"/>
      <c r="C67" s="183"/>
      <c r="D67" s="162" t="s">
        <v>191</v>
      </c>
      <c r="E67" s="162" t="s">
        <v>193</v>
      </c>
      <c r="F67" s="424">
        <v>1</v>
      </c>
    </row>
    <row r="68" spans="1:6" s="150" customFormat="1" ht="12" x14ac:dyDescent="0.2">
      <c r="A68" s="192" t="s">
        <v>213</v>
      </c>
      <c r="B68" s="183"/>
      <c r="C68" s="183"/>
      <c r="D68" s="162" t="s">
        <v>192</v>
      </c>
      <c r="E68" s="162" t="s">
        <v>193</v>
      </c>
      <c r="F68" s="424">
        <v>1</v>
      </c>
    </row>
    <row r="69" spans="1:6" s="150" customFormat="1" ht="12" x14ac:dyDescent="0.2">
      <c r="A69" s="193" t="s">
        <v>214</v>
      </c>
      <c r="B69" s="186" t="s">
        <v>243</v>
      </c>
      <c r="C69" s="194"/>
      <c r="D69" s="168"/>
      <c r="E69" s="194" t="s">
        <v>65</v>
      </c>
      <c r="F69" s="425">
        <f>SUM(F63:F68)</f>
        <v>10</v>
      </c>
    </row>
    <row r="70" spans="1:6" s="150" customFormat="1" ht="12" x14ac:dyDescent="0.2">
      <c r="A70" s="180"/>
      <c r="B70" s="195"/>
      <c r="C70" s="195"/>
      <c r="D70" s="195"/>
      <c r="E70" s="196"/>
      <c r="F70" s="197"/>
    </row>
    <row r="71" spans="1:6" s="150" customFormat="1" ht="12" x14ac:dyDescent="0.2">
      <c r="A71" s="198" t="s">
        <v>194</v>
      </c>
      <c r="B71" s="199" t="s">
        <v>63</v>
      </c>
      <c r="C71" s="199"/>
      <c r="D71" s="200"/>
      <c r="E71" s="199"/>
      <c r="F71" s="201"/>
    </row>
    <row r="72" spans="1:6" s="150" customFormat="1" ht="12" x14ac:dyDescent="0.2">
      <c r="A72" s="202" t="s">
        <v>195</v>
      </c>
      <c r="B72" s="162" t="s">
        <v>465</v>
      </c>
      <c r="C72" s="203"/>
      <c r="D72" s="204"/>
      <c r="E72" s="203"/>
      <c r="F72" s="205"/>
    </row>
    <row r="73" spans="1:6" s="150" customFormat="1" ht="12" x14ac:dyDescent="0.2">
      <c r="A73" s="192" t="s">
        <v>196</v>
      </c>
      <c r="B73" s="206"/>
      <c r="C73" s="206"/>
      <c r="D73" s="206" t="s">
        <v>248</v>
      </c>
      <c r="E73" s="207" t="s">
        <v>65</v>
      </c>
      <c r="F73" s="426">
        <f>F12*F11</f>
        <v>304.375</v>
      </c>
    </row>
    <row r="74" spans="1:6" s="150" customFormat="1" ht="12" x14ac:dyDescent="0.2">
      <c r="A74" s="192" t="s">
        <v>197</v>
      </c>
      <c r="B74" s="162"/>
      <c r="C74" s="162"/>
      <c r="D74" s="162" t="s">
        <v>249</v>
      </c>
      <c r="E74" s="166" t="s">
        <v>65</v>
      </c>
      <c r="F74" s="427">
        <f>F13*F11</f>
        <v>695.71428571428567</v>
      </c>
    </row>
    <row r="75" spans="1:6" s="150" customFormat="1" ht="12" x14ac:dyDescent="0.2">
      <c r="A75" s="192" t="s">
        <v>198</v>
      </c>
      <c r="B75" s="162"/>
      <c r="C75" s="162"/>
      <c r="D75" s="162" t="s">
        <v>250</v>
      </c>
      <c r="E75" s="166" t="s">
        <v>65</v>
      </c>
      <c r="F75" s="427">
        <f>F14*F11</f>
        <v>782.67857142857144</v>
      </c>
    </row>
    <row r="76" spans="1:6" s="150" customFormat="1" ht="12" x14ac:dyDescent="0.2">
      <c r="A76" s="192" t="s">
        <v>199</v>
      </c>
      <c r="B76" s="162"/>
      <c r="C76" s="162"/>
      <c r="D76" s="162" t="s">
        <v>289</v>
      </c>
      <c r="E76" s="166" t="s">
        <v>65</v>
      </c>
      <c r="F76" s="427">
        <f>F15*F11</f>
        <v>691.36607142857144</v>
      </c>
    </row>
    <row r="77" spans="1:6" s="150" customFormat="1" ht="12" x14ac:dyDescent="0.2">
      <c r="A77" s="180" t="s">
        <v>200</v>
      </c>
      <c r="B77" s="162"/>
      <c r="C77" s="162"/>
      <c r="D77" s="162" t="s">
        <v>251</v>
      </c>
      <c r="E77" s="166" t="s">
        <v>65</v>
      </c>
      <c r="F77" s="427">
        <f>F16*F11</f>
        <v>1752.3303571428571</v>
      </c>
    </row>
    <row r="78" spans="1:6" s="150" customFormat="1" ht="12" x14ac:dyDescent="0.2">
      <c r="A78" s="192" t="s">
        <v>201</v>
      </c>
      <c r="B78" s="181"/>
      <c r="C78" s="181"/>
      <c r="D78" s="183" t="s">
        <v>296</v>
      </c>
      <c r="E78" s="208" t="s">
        <v>65</v>
      </c>
      <c r="F78" s="428">
        <f>SUM(F73:F77)</f>
        <v>4226.4642857142853</v>
      </c>
    </row>
    <row r="79" spans="1:6" s="150" customFormat="1" ht="12" x14ac:dyDescent="0.2">
      <c r="A79" s="192" t="s">
        <v>462</v>
      </c>
      <c r="B79" s="162" t="s">
        <v>242</v>
      </c>
      <c r="C79" s="162"/>
      <c r="D79" s="183"/>
      <c r="E79" s="208"/>
      <c r="F79" s="429"/>
    </row>
    <row r="80" spans="1:6" s="150" customFormat="1" ht="12" x14ac:dyDescent="0.2">
      <c r="A80" s="192" t="s">
        <v>463</v>
      </c>
      <c r="B80" s="162"/>
      <c r="C80" s="162"/>
      <c r="D80" s="159" t="s">
        <v>215</v>
      </c>
      <c r="E80" s="162" t="s">
        <v>65</v>
      </c>
      <c r="F80" s="430">
        <f>F17*F10</f>
        <v>386.33749999999998</v>
      </c>
    </row>
    <row r="81" spans="1:6" s="150" customFormat="1" ht="12" x14ac:dyDescent="0.2">
      <c r="A81" s="210" t="s">
        <v>466</v>
      </c>
      <c r="B81" s="183"/>
      <c r="C81" s="208"/>
      <c r="D81" s="183" t="s">
        <v>464</v>
      </c>
      <c r="E81" s="208" t="s">
        <v>65</v>
      </c>
      <c r="F81" s="429">
        <f>F80</f>
        <v>386.33749999999998</v>
      </c>
    </row>
    <row r="82" spans="1:6" s="150" customFormat="1" ht="12" x14ac:dyDescent="0.2">
      <c r="A82" s="211"/>
      <c r="B82" s="212"/>
      <c r="C82" s="213"/>
      <c r="D82" s="214"/>
      <c r="E82" s="196"/>
      <c r="F82" s="215"/>
    </row>
    <row r="83" spans="1:6" s="150" customFormat="1" ht="12" x14ac:dyDescent="0.2">
      <c r="A83" s="216">
        <v>1</v>
      </c>
      <c r="B83" s="217" t="s">
        <v>252</v>
      </c>
      <c r="C83" s="217"/>
      <c r="D83" s="174"/>
      <c r="E83" s="218" t="s">
        <v>1</v>
      </c>
      <c r="F83" s="219" t="s">
        <v>2</v>
      </c>
    </row>
    <row r="84" spans="1:6" s="150" customFormat="1" ht="12" x14ac:dyDescent="0.2">
      <c r="A84" s="176" t="s">
        <v>71</v>
      </c>
      <c r="B84" s="220" t="s">
        <v>212</v>
      </c>
      <c r="C84" s="220"/>
      <c r="D84" s="178"/>
      <c r="E84" s="221"/>
      <c r="F84" s="222"/>
    </row>
    <row r="85" spans="1:6" s="150" customFormat="1" ht="12" x14ac:dyDescent="0.2">
      <c r="A85" s="184" t="s">
        <v>72</v>
      </c>
      <c r="B85" s="183"/>
      <c r="C85" s="183" t="s">
        <v>240</v>
      </c>
      <c r="D85" s="223"/>
      <c r="E85" s="224"/>
      <c r="F85" s="225"/>
    </row>
    <row r="86" spans="1:6" s="150" customFormat="1" ht="12" x14ac:dyDescent="0.2">
      <c r="A86" s="158" t="s">
        <v>336</v>
      </c>
      <c r="B86" s="159"/>
      <c r="C86" s="159"/>
      <c r="D86" s="159" t="s">
        <v>73</v>
      </c>
      <c r="E86" s="166" t="s">
        <v>74</v>
      </c>
      <c r="F86" s="314"/>
    </row>
    <row r="87" spans="1:6" s="150" customFormat="1" ht="12" x14ac:dyDescent="0.2">
      <c r="A87" s="185" t="s">
        <v>75</v>
      </c>
      <c r="B87" s="186"/>
      <c r="C87" s="186"/>
      <c r="D87" s="186" t="s">
        <v>467</v>
      </c>
      <c r="E87" s="226" t="s">
        <v>30</v>
      </c>
      <c r="F87" s="431">
        <f>((F78*F86*F18))</f>
        <v>0</v>
      </c>
    </row>
    <row r="88" spans="1:6" s="150" customFormat="1" ht="12" x14ac:dyDescent="0.2">
      <c r="A88" s="227" t="s">
        <v>76</v>
      </c>
      <c r="B88" s="228"/>
      <c r="C88" s="177" t="s">
        <v>175</v>
      </c>
      <c r="D88" s="58"/>
      <c r="E88" s="156"/>
      <c r="F88" s="432"/>
    </row>
    <row r="89" spans="1:6" s="150" customFormat="1" ht="12" x14ac:dyDescent="0.2">
      <c r="A89" s="158" t="s">
        <v>78</v>
      </c>
      <c r="B89" s="162"/>
      <c r="C89" s="162"/>
      <c r="D89" s="159" t="s">
        <v>176</v>
      </c>
      <c r="E89" s="159" t="s">
        <v>74</v>
      </c>
      <c r="F89" s="433">
        <f>F86*0.05</f>
        <v>0</v>
      </c>
    </row>
    <row r="90" spans="1:6" s="150" customFormat="1" ht="12" x14ac:dyDescent="0.2">
      <c r="A90" s="185" t="s">
        <v>79</v>
      </c>
      <c r="B90" s="186"/>
      <c r="C90" s="186"/>
      <c r="D90" s="186" t="s">
        <v>325</v>
      </c>
      <c r="E90" s="186" t="s">
        <v>30</v>
      </c>
      <c r="F90" s="434">
        <f>F78*F89*F20</f>
        <v>0</v>
      </c>
    </row>
    <row r="91" spans="1:6" s="150" customFormat="1" ht="12" x14ac:dyDescent="0.2">
      <c r="A91" s="176" t="s">
        <v>80</v>
      </c>
      <c r="B91" s="177"/>
      <c r="C91" s="177" t="s">
        <v>77</v>
      </c>
      <c r="D91" s="230"/>
      <c r="E91" s="220"/>
      <c r="F91" s="435"/>
    </row>
    <row r="92" spans="1:6" s="150" customFormat="1" ht="12" x14ac:dyDescent="0.2">
      <c r="A92" s="192" t="s">
        <v>82</v>
      </c>
      <c r="B92" s="159"/>
      <c r="C92" s="159"/>
      <c r="D92" s="159" t="s">
        <v>253</v>
      </c>
      <c r="E92" s="159" t="s">
        <v>183</v>
      </c>
      <c r="F92" s="436">
        <f>F18*0.05</f>
        <v>0</v>
      </c>
    </row>
    <row r="93" spans="1:6" s="150" customFormat="1" ht="12" x14ac:dyDescent="0.2">
      <c r="A93" s="232" t="s">
        <v>84</v>
      </c>
      <c r="B93" s="186"/>
      <c r="C93" s="186"/>
      <c r="D93" s="186" t="s">
        <v>326</v>
      </c>
      <c r="E93" s="186" t="s">
        <v>30</v>
      </c>
      <c r="F93" s="431">
        <f>(F78*F92)</f>
        <v>0</v>
      </c>
    </row>
    <row r="94" spans="1:6" s="150" customFormat="1" ht="12" x14ac:dyDescent="0.2">
      <c r="A94" s="176" t="s">
        <v>86</v>
      </c>
      <c r="B94" s="177"/>
      <c r="C94" s="177" t="s">
        <v>81</v>
      </c>
      <c r="D94" s="230"/>
      <c r="E94" s="156"/>
      <c r="F94" s="435"/>
    </row>
    <row r="95" spans="1:6" s="150" customFormat="1" ht="12" x14ac:dyDescent="0.2">
      <c r="A95" s="192" t="s">
        <v>87</v>
      </c>
      <c r="B95" s="159"/>
      <c r="C95" s="159"/>
      <c r="D95" s="159" t="s">
        <v>518</v>
      </c>
      <c r="E95" s="159" t="s">
        <v>83</v>
      </c>
      <c r="F95" s="437">
        <f>(F21*6)</f>
        <v>0</v>
      </c>
    </row>
    <row r="96" spans="1:6" s="150" customFormat="1" ht="12" x14ac:dyDescent="0.2">
      <c r="A96" s="192" t="s">
        <v>90</v>
      </c>
      <c r="B96" s="159"/>
      <c r="C96" s="159"/>
      <c r="D96" s="159" t="s">
        <v>517</v>
      </c>
      <c r="E96" s="159" t="s">
        <v>83</v>
      </c>
      <c r="F96" s="437">
        <f>F22*6</f>
        <v>0</v>
      </c>
    </row>
    <row r="97" spans="1:6" s="150" customFormat="1" ht="12" x14ac:dyDescent="0.2">
      <c r="A97" s="192" t="s">
        <v>91</v>
      </c>
      <c r="B97" s="159"/>
      <c r="C97" s="159"/>
      <c r="D97" s="159" t="s">
        <v>254</v>
      </c>
      <c r="E97" s="159" t="s">
        <v>85</v>
      </c>
      <c r="F97" s="315"/>
    </row>
    <row r="98" spans="1:6" s="150" customFormat="1" ht="12" x14ac:dyDescent="0.2">
      <c r="A98" s="185" t="s">
        <v>93</v>
      </c>
      <c r="B98" s="186"/>
      <c r="C98" s="186"/>
      <c r="D98" s="186" t="s">
        <v>329</v>
      </c>
      <c r="E98" s="186" t="s">
        <v>30</v>
      </c>
      <c r="F98" s="438" t="e">
        <f>SUM(F95:F96)/F97*F78</f>
        <v>#DIV/0!</v>
      </c>
    </row>
    <row r="99" spans="1:6" s="150" customFormat="1" ht="12" x14ac:dyDescent="0.2">
      <c r="A99" s="227" t="s">
        <v>94</v>
      </c>
      <c r="B99" s="233"/>
      <c r="C99" s="233" t="s">
        <v>255</v>
      </c>
      <c r="D99" s="223"/>
      <c r="E99" s="156"/>
      <c r="F99" s="234"/>
    </row>
    <row r="100" spans="1:6" s="150" customFormat="1" ht="12" x14ac:dyDescent="0.2">
      <c r="A100" s="192" t="s">
        <v>96</v>
      </c>
      <c r="B100" s="159"/>
      <c r="C100" s="159"/>
      <c r="D100" s="159" t="s">
        <v>256</v>
      </c>
      <c r="E100" s="159" t="s">
        <v>89</v>
      </c>
      <c r="F100" s="316"/>
    </row>
    <row r="101" spans="1:6" s="150" customFormat="1" ht="12" x14ac:dyDescent="0.2">
      <c r="A101" s="192" t="s">
        <v>99</v>
      </c>
      <c r="B101" s="159"/>
      <c r="C101" s="159"/>
      <c r="D101" s="159" t="s">
        <v>468</v>
      </c>
      <c r="E101" s="159" t="s">
        <v>30</v>
      </c>
      <c r="F101" s="437">
        <f>(F37-6*F21)*F56*F100</f>
        <v>0</v>
      </c>
    </row>
    <row r="102" spans="1:6" s="150" customFormat="1" ht="12" x14ac:dyDescent="0.2">
      <c r="A102" s="192" t="s">
        <v>330</v>
      </c>
      <c r="B102" s="159"/>
      <c r="C102" s="159"/>
      <c r="D102" s="159" t="s">
        <v>257</v>
      </c>
      <c r="E102" s="159" t="s">
        <v>89</v>
      </c>
      <c r="F102" s="317"/>
    </row>
    <row r="103" spans="1:6" s="150" customFormat="1" ht="12" x14ac:dyDescent="0.2">
      <c r="A103" s="192" t="s">
        <v>331</v>
      </c>
      <c r="B103" s="159"/>
      <c r="C103" s="159"/>
      <c r="D103" s="159" t="s">
        <v>469</v>
      </c>
      <c r="E103" s="159" t="s">
        <v>30</v>
      </c>
      <c r="F103" s="439">
        <f>F38*F56*F102</f>
        <v>0</v>
      </c>
    </row>
    <row r="104" spans="1:6" s="150" customFormat="1" ht="12" x14ac:dyDescent="0.2">
      <c r="A104" s="180" t="s">
        <v>332</v>
      </c>
      <c r="B104" s="186"/>
      <c r="C104" s="186"/>
      <c r="D104" s="186" t="s">
        <v>258</v>
      </c>
      <c r="E104" s="186" t="s">
        <v>30</v>
      </c>
      <c r="F104" s="431">
        <f>F101+F103</f>
        <v>0</v>
      </c>
    </row>
    <row r="105" spans="1:6" s="150" customFormat="1" ht="12" x14ac:dyDescent="0.2">
      <c r="A105" s="176" t="s">
        <v>100</v>
      </c>
      <c r="B105" s="177"/>
      <c r="C105" s="177" t="s">
        <v>95</v>
      </c>
      <c r="D105" s="223"/>
      <c r="E105" s="177"/>
      <c r="F105" s="235"/>
    </row>
    <row r="106" spans="1:6" s="150" customFormat="1" ht="12" x14ac:dyDescent="0.2">
      <c r="A106" s="192" t="s">
        <v>102</v>
      </c>
      <c r="B106" s="159"/>
      <c r="C106" s="159"/>
      <c r="D106" s="159" t="s">
        <v>97</v>
      </c>
      <c r="E106" s="159" t="s">
        <v>98</v>
      </c>
      <c r="F106" s="441">
        <f>F24</f>
        <v>0</v>
      </c>
    </row>
    <row r="107" spans="1:6" s="150" customFormat="1" ht="12" x14ac:dyDescent="0.2">
      <c r="A107" s="185" t="s">
        <v>107</v>
      </c>
      <c r="B107" s="186"/>
      <c r="C107" s="186"/>
      <c r="D107" s="186" t="s">
        <v>471</v>
      </c>
      <c r="E107" s="236" t="s">
        <v>30</v>
      </c>
      <c r="F107" s="440">
        <f>F106*F56</f>
        <v>0</v>
      </c>
    </row>
    <row r="108" spans="1:6" s="150" customFormat="1" ht="12" x14ac:dyDescent="0.2">
      <c r="A108" s="176" t="s">
        <v>111</v>
      </c>
      <c r="B108" s="233"/>
      <c r="C108" s="233" t="s">
        <v>101</v>
      </c>
      <c r="D108" s="230"/>
      <c r="E108" s="233"/>
      <c r="F108" s="234"/>
    </row>
    <row r="109" spans="1:6" s="150" customFormat="1" ht="12" x14ac:dyDescent="0.2">
      <c r="A109" s="158" t="s">
        <v>113</v>
      </c>
      <c r="B109" s="162"/>
      <c r="C109" s="162"/>
      <c r="D109" s="162" t="s">
        <v>470</v>
      </c>
      <c r="E109" s="59"/>
      <c r="F109" s="237"/>
    </row>
    <row r="110" spans="1:6" s="150" customFormat="1" ht="12" x14ac:dyDescent="0.2">
      <c r="A110" s="192" t="s">
        <v>118</v>
      </c>
      <c r="B110" s="159"/>
      <c r="C110" s="159"/>
      <c r="D110" s="159" t="s">
        <v>259</v>
      </c>
      <c r="E110" s="159" t="s">
        <v>89</v>
      </c>
      <c r="F110" s="247"/>
    </row>
    <row r="111" spans="1:6" s="150" customFormat="1" ht="12" x14ac:dyDescent="0.2">
      <c r="A111" s="180" t="s">
        <v>348</v>
      </c>
      <c r="B111" s="183"/>
      <c r="C111" s="183"/>
      <c r="D111" s="183" t="s">
        <v>475</v>
      </c>
      <c r="E111" s="183" t="s">
        <v>30</v>
      </c>
      <c r="F111" s="442">
        <f>(F37-6*F21)*F56*F110</f>
        <v>0</v>
      </c>
    </row>
    <row r="112" spans="1:6" s="150" customFormat="1" ht="12" x14ac:dyDescent="0.2">
      <c r="A112" s="192" t="s">
        <v>472</v>
      </c>
      <c r="B112" s="159"/>
      <c r="C112" s="159"/>
      <c r="D112" s="159" t="s">
        <v>260</v>
      </c>
      <c r="E112" s="166"/>
      <c r="F112" s="318"/>
    </row>
    <row r="113" spans="1:6" s="150" customFormat="1" ht="12" x14ac:dyDescent="0.2">
      <c r="A113" s="192" t="s">
        <v>473</v>
      </c>
      <c r="B113" s="159"/>
      <c r="C113" s="159"/>
      <c r="D113" s="159" t="s">
        <v>259</v>
      </c>
      <c r="E113" s="159" t="s">
        <v>89</v>
      </c>
      <c r="F113" s="247"/>
    </row>
    <row r="114" spans="1:6" s="150" customFormat="1" ht="12" x14ac:dyDescent="0.2">
      <c r="A114" s="185" t="s">
        <v>474</v>
      </c>
      <c r="B114" s="186"/>
      <c r="C114" s="186"/>
      <c r="D114" s="186" t="s">
        <v>476</v>
      </c>
      <c r="E114" s="186" t="s">
        <v>30</v>
      </c>
      <c r="F114" s="431">
        <f>F38*F56*F113</f>
        <v>0</v>
      </c>
    </row>
    <row r="115" spans="1:6" s="150" customFormat="1" ht="12" x14ac:dyDescent="0.2">
      <c r="A115" s="176" t="s">
        <v>123</v>
      </c>
      <c r="B115" s="177"/>
      <c r="C115" s="177" t="s">
        <v>112</v>
      </c>
      <c r="D115" s="230"/>
      <c r="E115" s="220"/>
      <c r="F115" s="231"/>
    </row>
    <row r="116" spans="1:6" s="150" customFormat="1" ht="12" x14ac:dyDescent="0.2">
      <c r="A116" s="192" t="s">
        <v>125</v>
      </c>
      <c r="B116" s="159"/>
      <c r="C116" s="159"/>
      <c r="D116" s="159" t="s">
        <v>386</v>
      </c>
      <c r="E116" s="181"/>
      <c r="F116" s="238"/>
    </row>
    <row r="117" spans="1:6" s="150" customFormat="1" ht="12" x14ac:dyDescent="0.2">
      <c r="A117" s="192" t="s">
        <v>477</v>
      </c>
      <c r="B117" s="159"/>
      <c r="C117" s="159"/>
      <c r="D117" s="159" t="s">
        <v>261</v>
      </c>
      <c r="E117" s="159" t="s">
        <v>89</v>
      </c>
      <c r="F117" s="247"/>
    </row>
    <row r="118" spans="1:6" s="150" customFormat="1" ht="12" x14ac:dyDescent="0.2">
      <c r="A118" s="180" t="s">
        <v>126</v>
      </c>
      <c r="B118" s="183"/>
      <c r="C118" s="183"/>
      <c r="D118" s="183" t="s">
        <v>478</v>
      </c>
      <c r="E118" s="183" t="s">
        <v>30</v>
      </c>
      <c r="F118" s="442">
        <f>(F37-6*F21)*F117*F56</f>
        <v>0</v>
      </c>
    </row>
    <row r="119" spans="1:6" s="150" customFormat="1" ht="12" x14ac:dyDescent="0.2">
      <c r="A119" s="192" t="s">
        <v>127</v>
      </c>
      <c r="B119" s="159"/>
      <c r="C119" s="159"/>
      <c r="D119" s="159" t="s">
        <v>479</v>
      </c>
      <c r="E119" s="181"/>
      <c r="F119" s="319"/>
    </row>
    <row r="120" spans="1:6" s="150" customFormat="1" ht="12" x14ac:dyDescent="0.2">
      <c r="A120" s="192" t="s">
        <v>480</v>
      </c>
      <c r="B120" s="159"/>
      <c r="C120" s="159"/>
      <c r="D120" s="159" t="s">
        <v>262</v>
      </c>
      <c r="E120" s="159" t="s">
        <v>89</v>
      </c>
      <c r="F120" s="247"/>
    </row>
    <row r="121" spans="1:6" s="150" customFormat="1" ht="12" x14ac:dyDescent="0.2">
      <c r="A121" s="185" t="s">
        <v>128</v>
      </c>
      <c r="B121" s="186"/>
      <c r="C121" s="186"/>
      <c r="D121" s="186" t="s">
        <v>485</v>
      </c>
      <c r="E121" s="186" t="s">
        <v>30</v>
      </c>
      <c r="F121" s="431">
        <f>F38*F120*F56</f>
        <v>0</v>
      </c>
    </row>
    <row r="122" spans="1:6" s="150" customFormat="1" ht="12" x14ac:dyDescent="0.2">
      <c r="A122" s="176" t="s">
        <v>353</v>
      </c>
      <c r="B122" s="220"/>
      <c r="C122" s="220" t="s">
        <v>124</v>
      </c>
      <c r="D122" s="230"/>
      <c r="E122" s="177"/>
      <c r="F122" s="239"/>
    </row>
    <row r="123" spans="1:6" s="150" customFormat="1" ht="12" x14ac:dyDescent="0.2">
      <c r="A123" s="240" t="s">
        <v>354</v>
      </c>
      <c r="B123" s="58"/>
      <c r="C123" s="58"/>
      <c r="D123" s="58" t="s">
        <v>486</v>
      </c>
      <c r="E123" s="58" t="s">
        <v>30</v>
      </c>
      <c r="F123" s="443">
        <f>F43*F56/12</f>
        <v>0</v>
      </c>
    </row>
    <row r="124" spans="1:6" s="150" customFormat="1" ht="12" x14ac:dyDescent="0.2">
      <c r="A124" s="240" t="s">
        <v>355</v>
      </c>
      <c r="B124" s="58"/>
      <c r="C124" s="58"/>
      <c r="D124" s="58" t="s">
        <v>487</v>
      </c>
      <c r="E124" s="58" t="s">
        <v>30</v>
      </c>
      <c r="F124" s="443">
        <f>F45*F56/12</f>
        <v>0</v>
      </c>
    </row>
    <row r="125" spans="1:6" s="150" customFormat="1" ht="12" x14ac:dyDescent="0.2">
      <c r="A125" s="240" t="s">
        <v>481</v>
      </c>
      <c r="B125" s="241"/>
      <c r="C125" s="241"/>
      <c r="D125" s="241" t="s">
        <v>351</v>
      </c>
      <c r="E125" s="58" t="s">
        <v>30</v>
      </c>
      <c r="F125" s="443">
        <f>F46*F56/12</f>
        <v>0</v>
      </c>
    </row>
    <row r="126" spans="1:6" s="150" customFormat="1" ht="12" x14ac:dyDescent="0.2">
      <c r="A126" s="240" t="s">
        <v>482</v>
      </c>
      <c r="B126" s="242"/>
      <c r="C126" s="242"/>
      <c r="D126" s="242" t="s">
        <v>488</v>
      </c>
      <c r="E126" s="58" t="s">
        <v>30</v>
      </c>
      <c r="F126" s="443">
        <f>F48*F56/12</f>
        <v>0</v>
      </c>
    </row>
    <row r="127" spans="1:6" s="150" customFormat="1" ht="12" x14ac:dyDescent="0.2">
      <c r="A127" s="185" t="s">
        <v>483</v>
      </c>
      <c r="B127" s="226"/>
      <c r="C127" s="226"/>
      <c r="D127" s="226" t="s">
        <v>352</v>
      </c>
      <c r="E127" s="186" t="s">
        <v>30</v>
      </c>
      <c r="F127" s="444">
        <f>SUM(F123:F126)</f>
        <v>0</v>
      </c>
    </row>
    <row r="128" spans="1:6" s="150" customFormat="1" ht="12" x14ac:dyDescent="0.2">
      <c r="A128" s="180" t="s">
        <v>357</v>
      </c>
      <c r="B128" s="183" t="s">
        <v>218</v>
      </c>
      <c r="C128" s="159"/>
      <c r="D128" s="58"/>
      <c r="E128" s="243"/>
      <c r="F128" s="244"/>
    </row>
    <row r="129" spans="1:6" s="150" customFormat="1" ht="12" x14ac:dyDescent="0.2">
      <c r="A129" s="180" t="s">
        <v>358</v>
      </c>
      <c r="B129" s="183"/>
      <c r="C129" s="183" t="s">
        <v>217</v>
      </c>
      <c r="D129" s="58"/>
      <c r="E129" s="159"/>
      <c r="F129" s="209"/>
    </row>
    <row r="130" spans="1:6" s="150" customFormat="1" ht="12" x14ac:dyDescent="0.2">
      <c r="A130" s="158" t="s">
        <v>359</v>
      </c>
      <c r="B130" s="162"/>
      <c r="C130" s="162"/>
      <c r="D130" s="159" t="s">
        <v>73</v>
      </c>
      <c r="E130" s="159" t="s">
        <v>74</v>
      </c>
      <c r="F130" s="245"/>
    </row>
    <row r="131" spans="1:6" s="150" customFormat="1" ht="12" x14ac:dyDescent="0.2">
      <c r="A131" s="185" t="s">
        <v>484</v>
      </c>
      <c r="B131" s="186"/>
      <c r="C131" s="186"/>
      <c r="D131" s="186" t="s">
        <v>367</v>
      </c>
      <c r="E131" s="186" t="s">
        <v>30</v>
      </c>
      <c r="F131" s="434">
        <f>F130*F81*F19</f>
        <v>0</v>
      </c>
    </row>
    <row r="132" spans="1:6" s="150" customFormat="1" ht="12" x14ac:dyDescent="0.2">
      <c r="A132" s="176" t="s">
        <v>361</v>
      </c>
      <c r="B132" s="177"/>
      <c r="C132" s="177" t="s">
        <v>77</v>
      </c>
      <c r="D132" s="58"/>
      <c r="E132" s="156"/>
      <c r="F132" s="229"/>
    </row>
    <row r="133" spans="1:6" s="150" customFormat="1" ht="12" x14ac:dyDescent="0.2">
      <c r="A133" s="192" t="s">
        <v>362</v>
      </c>
      <c r="B133" s="159"/>
      <c r="C133" s="159"/>
      <c r="D133" s="159" t="s">
        <v>182</v>
      </c>
      <c r="E133" s="159" t="s">
        <v>183</v>
      </c>
      <c r="F133" s="445">
        <f>F19*0.05</f>
        <v>0</v>
      </c>
    </row>
    <row r="134" spans="1:6" s="150" customFormat="1" ht="12" x14ac:dyDescent="0.2">
      <c r="A134" s="232" t="s">
        <v>363</v>
      </c>
      <c r="B134" s="246"/>
      <c r="C134" s="246"/>
      <c r="D134" s="186" t="s">
        <v>326</v>
      </c>
      <c r="E134" s="186" t="s">
        <v>30</v>
      </c>
      <c r="F134" s="446">
        <f>F133*F81</f>
        <v>0</v>
      </c>
    </row>
    <row r="135" spans="1:6" s="150" customFormat="1" ht="12" x14ac:dyDescent="0.2">
      <c r="A135" s="176" t="s">
        <v>364</v>
      </c>
      <c r="B135" s="177"/>
      <c r="C135" s="177" t="s">
        <v>81</v>
      </c>
      <c r="D135" s="58"/>
      <c r="E135" s="156"/>
      <c r="F135" s="229"/>
    </row>
    <row r="136" spans="1:6" s="150" customFormat="1" ht="12" x14ac:dyDescent="0.2">
      <c r="A136" s="192" t="s">
        <v>365</v>
      </c>
      <c r="B136" s="159"/>
      <c r="C136" s="159"/>
      <c r="D136" s="159" t="s">
        <v>489</v>
      </c>
      <c r="E136" s="159" t="s">
        <v>83</v>
      </c>
      <c r="F136" s="447">
        <f>F23*4</f>
        <v>0</v>
      </c>
    </row>
    <row r="137" spans="1:6" s="150" customFormat="1" ht="12" x14ac:dyDescent="0.2">
      <c r="A137" s="192" t="s">
        <v>366</v>
      </c>
      <c r="B137" s="159"/>
      <c r="C137" s="159"/>
      <c r="D137" s="159" t="s">
        <v>229</v>
      </c>
      <c r="E137" s="159" t="s">
        <v>85</v>
      </c>
      <c r="F137" s="320"/>
    </row>
    <row r="138" spans="1:6" s="150" customFormat="1" ht="12" x14ac:dyDescent="0.2">
      <c r="A138" s="185" t="s">
        <v>456</v>
      </c>
      <c r="B138" s="186"/>
      <c r="C138" s="186"/>
      <c r="D138" s="186" t="s">
        <v>329</v>
      </c>
      <c r="E138" s="186" t="s">
        <v>30</v>
      </c>
      <c r="F138" s="446" t="e">
        <f>F136/F137*F81</f>
        <v>#DIV/0!</v>
      </c>
    </row>
    <row r="139" spans="1:6" s="150" customFormat="1" ht="12" x14ac:dyDescent="0.2">
      <c r="A139" s="227" t="s">
        <v>369</v>
      </c>
      <c r="B139" s="228"/>
      <c r="C139" s="177" t="s">
        <v>178</v>
      </c>
      <c r="D139" s="58"/>
      <c r="E139" s="156"/>
      <c r="F139" s="229"/>
    </row>
    <row r="140" spans="1:6" s="150" customFormat="1" ht="12" x14ac:dyDescent="0.2">
      <c r="A140" s="192" t="s">
        <v>370</v>
      </c>
      <c r="B140" s="159"/>
      <c r="C140" s="159"/>
      <c r="D140" s="159" t="s">
        <v>228</v>
      </c>
      <c r="E140" s="159" t="s">
        <v>89</v>
      </c>
      <c r="F140" s="247"/>
    </row>
    <row r="141" spans="1:6" s="150" customFormat="1" ht="12" x14ac:dyDescent="0.2">
      <c r="A141" s="180" t="s">
        <v>371</v>
      </c>
      <c r="B141" s="183"/>
      <c r="C141" s="183"/>
      <c r="D141" s="186" t="s">
        <v>335</v>
      </c>
      <c r="E141" s="183" t="s">
        <v>30</v>
      </c>
      <c r="F141" s="448">
        <f>(F39-4*F23)*F59*F140</f>
        <v>0</v>
      </c>
    </row>
    <row r="142" spans="1:6" s="150" customFormat="1" ht="12" x14ac:dyDescent="0.2">
      <c r="A142" s="176" t="s">
        <v>373</v>
      </c>
      <c r="B142" s="177"/>
      <c r="C142" s="233" t="s">
        <v>101</v>
      </c>
      <c r="D142" s="58"/>
      <c r="E142" s="233"/>
      <c r="F142" s="234"/>
    </row>
    <row r="143" spans="1:6" s="150" customFormat="1" ht="12" x14ac:dyDescent="0.2">
      <c r="A143" s="158" t="s">
        <v>374</v>
      </c>
      <c r="B143" s="162"/>
      <c r="C143" s="162"/>
      <c r="D143" s="162" t="s">
        <v>379</v>
      </c>
      <c r="E143" s="162"/>
      <c r="F143" s="248"/>
    </row>
    <row r="144" spans="1:6" s="150" customFormat="1" ht="12" x14ac:dyDescent="0.2">
      <c r="A144" s="192" t="s">
        <v>458</v>
      </c>
      <c r="B144" s="159"/>
      <c r="C144" s="159"/>
      <c r="D144" s="159" t="s">
        <v>105</v>
      </c>
      <c r="E144" s="159" t="s">
        <v>89</v>
      </c>
      <c r="F144" s="249"/>
    </row>
    <row r="145" spans="1:6" s="150" customFormat="1" ht="12" x14ac:dyDescent="0.2">
      <c r="A145" s="180" t="s">
        <v>375</v>
      </c>
      <c r="B145" s="183"/>
      <c r="C145" s="183"/>
      <c r="D145" s="183" t="s">
        <v>384</v>
      </c>
      <c r="E145" s="183" t="s">
        <v>30</v>
      </c>
      <c r="F145" s="448">
        <f>(F39-4*F23)*F59*F144</f>
        <v>0</v>
      </c>
    </row>
    <row r="146" spans="1:6" s="150" customFormat="1" ht="12" x14ac:dyDescent="0.2">
      <c r="A146" s="176" t="s">
        <v>376</v>
      </c>
      <c r="B146" s="177"/>
      <c r="C146" s="177" t="s">
        <v>112</v>
      </c>
      <c r="D146" s="250"/>
      <c r="E146" s="177"/>
      <c r="F146" s="229"/>
    </row>
    <row r="147" spans="1:6" s="150" customFormat="1" ht="12" x14ac:dyDescent="0.2">
      <c r="A147" s="192" t="s">
        <v>377</v>
      </c>
      <c r="B147" s="159"/>
      <c r="C147" s="159"/>
      <c r="D147" s="159" t="s">
        <v>386</v>
      </c>
      <c r="E147" s="159"/>
      <c r="F147" s="209"/>
    </row>
    <row r="148" spans="1:6" s="150" customFormat="1" ht="12" x14ac:dyDescent="0.2">
      <c r="A148" s="192" t="s">
        <v>457</v>
      </c>
      <c r="B148" s="159"/>
      <c r="C148" s="159"/>
      <c r="D148" s="159" t="s">
        <v>116</v>
      </c>
      <c r="E148" s="159" t="s">
        <v>89</v>
      </c>
      <c r="F148" s="247"/>
    </row>
    <row r="149" spans="1:6" s="150" customFormat="1" ht="12" x14ac:dyDescent="0.2">
      <c r="A149" s="180" t="s">
        <v>378</v>
      </c>
      <c r="B149" s="183"/>
      <c r="C149" s="183"/>
      <c r="D149" s="183" t="s">
        <v>385</v>
      </c>
      <c r="E149" s="183" t="s">
        <v>30</v>
      </c>
      <c r="F149" s="448">
        <f>(F39-4*F23)*F148*F59</f>
        <v>0</v>
      </c>
    </row>
    <row r="150" spans="1:6" s="150" customFormat="1" ht="12" x14ac:dyDescent="0.2">
      <c r="A150" s="176" t="s">
        <v>380</v>
      </c>
      <c r="B150" s="177"/>
      <c r="C150" s="220" t="s">
        <v>124</v>
      </c>
      <c r="D150" s="250"/>
      <c r="E150" s="177"/>
      <c r="F150" s="449"/>
    </row>
    <row r="151" spans="1:6" s="150" customFormat="1" ht="12" x14ac:dyDescent="0.2">
      <c r="A151" s="240" t="s">
        <v>381</v>
      </c>
      <c r="B151" s="58"/>
      <c r="C151" s="58"/>
      <c r="D151" s="58" t="s">
        <v>349</v>
      </c>
      <c r="E151" s="58" t="s">
        <v>30</v>
      </c>
      <c r="F151" s="443">
        <f>F44*F59/12</f>
        <v>0</v>
      </c>
    </row>
    <row r="152" spans="1:6" s="150" customFormat="1" ht="12" x14ac:dyDescent="0.2">
      <c r="A152" s="240" t="s">
        <v>382</v>
      </c>
      <c r="B152" s="58"/>
      <c r="C152" s="58"/>
      <c r="D152" s="58" t="s">
        <v>179</v>
      </c>
      <c r="E152" s="58" t="s">
        <v>30</v>
      </c>
      <c r="F152" s="443">
        <f>F45*F59/12</f>
        <v>0</v>
      </c>
    </row>
    <row r="153" spans="1:6" s="150" customFormat="1" ht="12" x14ac:dyDescent="0.2">
      <c r="A153" s="240" t="s">
        <v>383</v>
      </c>
      <c r="B153" s="58"/>
      <c r="C153" s="58"/>
      <c r="D153" s="241" t="s">
        <v>519</v>
      </c>
      <c r="E153" s="58" t="s">
        <v>30</v>
      </c>
      <c r="F153" s="443">
        <f>F47*F59/12</f>
        <v>0</v>
      </c>
    </row>
    <row r="154" spans="1:6" s="150" customFormat="1" ht="12" x14ac:dyDescent="0.2">
      <c r="A154" s="240" t="s">
        <v>459</v>
      </c>
      <c r="B154" s="58"/>
      <c r="C154" s="58"/>
      <c r="D154" s="242" t="s">
        <v>350</v>
      </c>
      <c r="E154" s="58" t="s">
        <v>30</v>
      </c>
      <c r="F154" s="443">
        <f>F49*F59/12</f>
        <v>0</v>
      </c>
    </row>
    <row r="155" spans="1:6" s="150" customFormat="1" ht="12" x14ac:dyDescent="0.2">
      <c r="A155" s="147" t="s">
        <v>460</v>
      </c>
      <c r="B155" s="183"/>
      <c r="C155" s="183"/>
      <c r="D155" s="181" t="s">
        <v>387</v>
      </c>
      <c r="E155" s="183" t="s">
        <v>30</v>
      </c>
      <c r="F155" s="450">
        <f>SUM(F151:F154)</f>
        <v>0</v>
      </c>
    </row>
    <row r="156" spans="1:6" s="150" customFormat="1" ht="12" x14ac:dyDescent="0.2">
      <c r="A156" s="251"/>
      <c r="B156" s="252" t="s">
        <v>232</v>
      </c>
      <c r="C156" s="196"/>
      <c r="D156" s="214"/>
      <c r="E156" s="195"/>
      <c r="F156" s="451" t="e">
        <f>F155+F149+F145+F141+F138+F134+F131+F127+F121+F118+F114+F111+F107+F104+F98+F93+F90+F87</f>
        <v>#DIV/0!</v>
      </c>
    </row>
    <row r="157" spans="1:6" s="150" customFormat="1" ht="12" x14ac:dyDescent="0.2">
      <c r="A157" s="169"/>
      <c r="B157" s="170"/>
      <c r="C157" s="170"/>
      <c r="D157" s="170"/>
      <c r="E157" s="170"/>
      <c r="F157" s="463"/>
    </row>
    <row r="158" spans="1:6" s="150" customFormat="1" ht="12" x14ac:dyDescent="0.2">
      <c r="A158" s="198">
        <v>2</v>
      </c>
      <c r="B158" s="253" t="s">
        <v>264</v>
      </c>
      <c r="C158" s="253"/>
      <c r="D158" s="174"/>
      <c r="E158" s="152" t="s">
        <v>1</v>
      </c>
      <c r="F158" s="466" t="s">
        <v>2</v>
      </c>
    </row>
    <row r="159" spans="1:6" s="150" customFormat="1" ht="12" x14ac:dyDescent="0.2">
      <c r="A159" s="227" t="s">
        <v>129</v>
      </c>
      <c r="B159" s="233"/>
      <c r="C159" s="233" t="s">
        <v>133</v>
      </c>
      <c r="D159" s="230"/>
      <c r="E159" s="233"/>
      <c r="F159" s="255"/>
    </row>
    <row r="160" spans="1:6" s="150" customFormat="1" ht="12" x14ac:dyDescent="0.2">
      <c r="A160" s="192" t="s">
        <v>391</v>
      </c>
      <c r="B160" s="166"/>
      <c r="C160" s="166"/>
      <c r="D160" s="166" t="s">
        <v>491</v>
      </c>
      <c r="E160" s="159" t="s">
        <v>30</v>
      </c>
      <c r="F160" s="452">
        <f>F33*(F63+F64)</f>
        <v>0</v>
      </c>
    </row>
    <row r="161" spans="1:6" s="150" customFormat="1" ht="12" x14ac:dyDescent="0.2">
      <c r="A161" s="256" t="s">
        <v>392</v>
      </c>
      <c r="B161" s="223"/>
      <c r="C161" s="223"/>
      <c r="D161" s="159" t="s">
        <v>490</v>
      </c>
      <c r="E161" s="159" t="s">
        <v>30</v>
      </c>
      <c r="F161" s="453">
        <f>F33*0.2/220*1.14*5*F10*F64</f>
        <v>0</v>
      </c>
    </row>
    <row r="162" spans="1:6" s="150" customFormat="1" ht="12" x14ac:dyDescent="0.2">
      <c r="A162" s="192" t="s">
        <v>393</v>
      </c>
      <c r="B162" s="166"/>
      <c r="C162" s="166"/>
      <c r="D162" s="166" t="s">
        <v>390</v>
      </c>
      <c r="E162" s="159" t="s">
        <v>30</v>
      </c>
      <c r="F162" s="452">
        <f>0.4*(F63+F64)*F33</f>
        <v>0</v>
      </c>
    </row>
    <row r="163" spans="1:6" s="150" customFormat="1" ht="12" x14ac:dyDescent="0.2">
      <c r="A163" s="192" t="s">
        <v>394</v>
      </c>
      <c r="B163" s="166"/>
      <c r="C163" s="166"/>
      <c r="D163" s="166" t="s">
        <v>406</v>
      </c>
      <c r="E163" s="159" t="s">
        <v>30</v>
      </c>
      <c r="F163" s="452">
        <f>F34*(F65+F66)</f>
        <v>0</v>
      </c>
    </row>
    <row r="164" spans="1:6" s="150" customFormat="1" ht="12" x14ac:dyDescent="0.2">
      <c r="A164" s="256" t="s">
        <v>395</v>
      </c>
      <c r="B164" s="166"/>
      <c r="C164" s="166"/>
      <c r="D164" s="166" t="s">
        <v>408</v>
      </c>
      <c r="E164" s="159" t="s">
        <v>30</v>
      </c>
      <c r="F164" s="452">
        <f>(0.4*(F65+F66)*F34)</f>
        <v>0</v>
      </c>
    </row>
    <row r="165" spans="1:6" s="150" customFormat="1" ht="12" x14ac:dyDescent="0.2">
      <c r="A165" s="192" t="s">
        <v>396</v>
      </c>
      <c r="B165" s="223"/>
      <c r="C165" s="223"/>
      <c r="D165" s="159" t="s">
        <v>407</v>
      </c>
      <c r="E165" s="159" t="s">
        <v>30</v>
      </c>
      <c r="F165" s="453">
        <f>F34*0.2/220*1.14*5*F10*F66</f>
        <v>0</v>
      </c>
    </row>
    <row r="166" spans="1:6" s="150" customFormat="1" ht="12" x14ac:dyDescent="0.2">
      <c r="A166" s="192" t="s">
        <v>397</v>
      </c>
      <c r="B166" s="159"/>
      <c r="C166" s="159"/>
      <c r="D166" s="159" t="s">
        <v>492</v>
      </c>
      <c r="E166" s="159" t="s">
        <v>30</v>
      </c>
      <c r="F166" s="452">
        <f>F35*F67</f>
        <v>0</v>
      </c>
    </row>
    <row r="167" spans="1:6" s="150" customFormat="1" ht="12" x14ac:dyDescent="0.2">
      <c r="A167" s="192" t="s">
        <v>398</v>
      </c>
      <c r="B167" s="159"/>
      <c r="C167" s="159"/>
      <c r="D167" s="159" t="s">
        <v>534</v>
      </c>
      <c r="E167" s="159" t="s">
        <v>30</v>
      </c>
      <c r="F167" s="452">
        <f>(0.4*(F67)*F35)</f>
        <v>0</v>
      </c>
    </row>
    <row r="168" spans="1:6" s="150" customFormat="1" ht="12" x14ac:dyDescent="0.2">
      <c r="A168" s="192" t="s">
        <v>399</v>
      </c>
      <c r="B168" s="159"/>
      <c r="C168" s="159"/>
      <c r="D168" s="159" t="s">
        <v>418</v>
      </c>
      <c r="E168" s="159" t="s">
        <v>30</v>
      </c>
      <c r="F168" s="452">
        <f>F36*F68</f>
        <v>0</v>
      </c>
    </row>
    <row r="169" spans="1:6" s="150" customFormat="1" ht="12" x14ac:dyDescent="0.2">
      <c r="A169" s="180" t="s">
        <v>533</v>
      </c>
      <c r="B169" s="186"/>
      <c r="C169" s="186"/>
      <c r="D169" s="186" t="s">
        <v>294</v>
      </c>
      <c r="E169" s="159" t="s">
        <v>30</v>
      </c>
      <c r="F169" s="454">
        <f>SUM(F160:F168)</f>
        <v>0</v>
      </c>
    </row>
    <row r="170" spans="1:6" s="150" customFormat="1" ht="12" x14ac:dyDescent="0.2">
      <c r="A170" s="176" t="s">
        <v>400</v>
      </c>
      <c r="B170" s="220"/>
      <c r="C170" s="220" t="s">
        <v>135</v>
      </c>
      <c r="D170" s="230"/>
      <c r="E170" s="220"/>
      <c r="F170" s="455"/>
    </row>
    <row r="171" spans="1:6" s="150" customFormat="1" ht="12" x14ac:dyDescent="0.2">
      <c r="A171" s="192" t="s">
        <v>130</v>
      </c>
      <c r="B171" s="159"/>
      <c r="C171" s="159"/>
      <c r="D171" s="159" t="s">
        <v>411</v>
      </c>
      <c r="E171" s="159" t="s">
        <v>30</v>
      </c>
      <c r="F171" s="452">
        <f>F169*F42</f>
        <v>0</v>
      </c>
    </row>
    <row r="172" spans="1:6" s="150" customFormat="1" ht="12" x14ac:dyDescent="0.2">
      <c r="A172" s="185" t="s">
        <v>131</v>
      </c>
      <c r="B172" s="257"/>
      <c r="C172" s="257"/>
      <c r="D172" s="257" t="s">
        <v>139</v>
      </c>
      <c r="E172" s="186" t="s">
        <v>30</v>
      </c>
      <c r="F172" s="454">
        <f>SUM(F171:F171)</f>
        <v>0</v>
      </c>
    </row>
    <row r="173" spans="1:6" s="150" customFormat="1" ht="12" x14ac:dyDescent="0.2">
      <c r="A173" s="176" t="s">
        <v>132</v>
      </c>
      <c r="B173" s="258"/>
      <c r="C173" s="220" t="s">
        <v>265</v>
      </c>
      <c r="D173" s="230"/>
      <c r="E173" s="220"/>
      <c r="F173" s="259"/>
    </row>
    <row r="174" spans="1:6" s="150" customFormat="1" ht="12" x14ac:dyDescent="0.2">
      <c r="A174" s="260" t="s">
        <v>401</v>
      </c>
      <c r="B174" s="241"/>
      <c r="C174" s="241"/>
      <c r="D174" s="241" t="s">
        <v>388</v>
      </c>
      <c r="E174" s="159" t="s">
        <v>30</v>
      </c>
      <c r="F174" s="452">
        <f>F40*(F64+F63)*F10</f>
        <v>0</v>
      </c>
    </row>
    <row r="175" spans="1:6" s="150" customFormat="1" ht="12" x14ac:dyDescent="0.2">
      <c r="A175" s="260" t="s">
        <v>402</v>
      </c>
      <c r="B175" s="241"/>
      <c r="C175" s="241"/>
      <c r="D175" s="241" t="s">
        <v>412</v>
      </c>
      <c r="E175" s="159" t="s">
        <v>30</v>
      </c>
      <c r="F175" s="452">
        <f>F40*(F65+F66)*F10</f>
        <v>0</v>
      </c>
    </row>
    <row r="176" spans="1:6" s="150" customFormat="1" ht="12" x14ac:dyDescent="0.2">
      <c r="A176" s="260" t="s">
        <v>403</v>
      </c>
      <c r="B176" s="241"/>
      <c r="C176" s="241"/>
      <c r="D176" s="241" t="s">
        <v>494</v>
      </c>
      <c r="E176" s="159" t="s">
        <v>30</v>
      </c>
      <c r="F176" s="452">
        <f>F67*F40*F10</f>
        <v>0</v>
      </c>
    </row>
    <row r="177" spans="1:6" s="150" customFormat="1" ht="12" x14ac:dyDescent="0.2">
      <c r="A177" s="260" t="s">
        <v>404</v>
      </c>
      <c r="B177" s="241"/>
      <c r="C177" s="241"/>
      <c r="D177" s="241" t="s">
        <v>410</v>
      </c>
      <c r="E177" s="159" t="s">
        <v>30</v>
      </c>
      <c r="F177" s="452">
        <f>F40*F68*F10</f>
        <v>0</v>
      </c>
    </row>
    <row r="178" spans="1:6" s="150" customFormat="1" ht="12" x14ac:dyDescent="0.2">
      <c r="A178" s="261" t="s">
        <v>405</v>
      </c>
      <c r="B178" s="226"/>
      <c r="C178" s="226"/>
      <c r="D178" s="226" t="s">
        <v>266</v>
      </c>
      <c r="E178" s="186" t="s">
        <v>30</v>
      </c>
      <c r="F178" s="454">
        <f>SUM(F174:F177)</f>
        <v>0</v>
      </c>
    </row>
    <row r="179" spans="1:6" s="150" customFormat="1" ht="12" x14ac:dyDescent="0.2">
      <c r="A179" s="262" t="s">
        <v>134</v>
      </c>
      <c r="B179" s="263"/>
      <c r="C179" s="233" t="s">
        <v>149</v>
      </c>
      <c r="D179" s="230"/>
      <c r="E179" s="233"/>
      <c r="F179" s="456"/>
    </row>
    <row r="180" spans="1:6" s="150" customFormat="1" ht="12.75" x14ac:dyDescent="0.2">
      <c r="A180" s="240" t="s">
        <v>136</v>
      </c>
      <c r="B180" s="58"/>
      <c r="C180" s="58"/>
      <c r="D180" s="58" t="s">
        <v>536</v>
      </c>
      <c r="E180" s="159" t="s">
        <v>30</v>
      </c>
      <c r="F180" s="443">
        <f>(F41*2*F10-(0.06*F33))*(F63+F64)</f>
        <v>0</v>
      </c>
    </row>
    <row r="181" spans="1:6" s="150" customFormat="1" ht="12.75" x14ac:dyDescent="0.2">
      <c r="A181" s="240" t="s">
        <v>137</v>
      </c>
      <c r="B181" s="58"/>
      <c r="C181" s="58"/>
      <c r="D181" s="58" t="s">
        <v>493</v>
      </c>
      <c r="E181" s="159" t="s">
        <v>30</v>
      </c>
      <c r="F181" s="443">
        <f>(F41*2*F10-(0.06*F34))*(F65+F66)</f>
        <v>0</v>
      </c>
    </row>
    <row r="182" spans="1:6" s="150" customFormat="1" ht="12" x14ac:dyDescent="0.2">
      <c r="A182" s="240" t="s">
        <v>138</v>
      </c>
      <c r="B182" s="58"/>
      <c r="C182" s="58"/>
      <c r="D182" s="58" t="s">
        <v>494</v>
      </c>
      <c r="E182" s="159" t="s">
        <v>30</v>
      </c>
      <c r="F182" s="452">
        <f>(F41*2*F10-(0.06*F35))*F67</f>
        <v>0</v>
      </c>
    </row>
    <row r="183" spans="1:6" s="150" customFormat="1" ht="12" x14ac:dyDescent="0.2">
      <c r="A183" s="240" t="s">
        <v>415</v>
      </c>
      <c r="B183" s="58"/>
      <c r="C183" s="58"/>
      <c r="D183" s="58" t="s">
        <v>410</v>
      </c>
      <c r="E183" s="159" t="s">
        <v>30</v>
      </c>
      <c r="F183" s="452">
        <f>(F41*2*F10-(0.06*F36))*F68</f>
        <v>0</v>
      </c>
    </row>
    <row r="184" spans="1:6" s="150" customFormat="1" ht="12" x14ac:dyDescent="0.2">
      <c r="A184" s="147" t="s">
        <v>416</v>
      </c>
      <c r="B184" s="264"/>
      <c r="C184" s="264"/>
      <c r="D184" s="264" t="s">
        <v>267</v>
      </c>
      <c r="E184" s="186" t="s">
        <v>30</v>
      </c>
      <c r="F184" s="457">
        <f>SUM(F180:F183)</f>
        <v>0</v>
      </c>
    </row>
    <row r="185" spans="1:6" s="150" customFormat="1" ht="12" x14ac:dyDescent="0.2">
      <c r="A185" s="262" t="s">
        <v>417</v>
      </c>
      <c r="B185" s="233"/>
      <c r="C185" s="233" t="s">
        <v>157</v>
      </c>
      <c r="D185" s="230"/>
      <c r="E185" s="233"/>
      <c r="F185" s="456"/>
    </row>
    <row r="186" spans="1:6" s="150" customFormat="1" ht="12" x14ac:dyDescent="0.2">
      <c r="A186" s="147" t="s">
        <v>140</v>
      </c>
      <c r="B186" s="224"/>
      <c r="C186" s="224"/>
      <c r="D186" s="224" t="s">
        <v>158</v>
      </c>
      <c r="E186" s="224"/>
      <c r="F186" s="418"/>
    </row>
    <row r="187" spans="1:6" s="150" customFormat="1" ht="12" x14ac:dyDescent="0.2">
      <c r="A187" s="240" t="s">
        <v>142</v>
      </c>
      <c r="B187" s="58"/>
      <c r="C187" s="58"/>
      <c r="D187" s="58" t="s">
        <v>495</v>
      </c>
      <c r="E187" s="58" t="s">
        <v>268</v>
      </c>
      <c r="F187" s="443">
        <f>4*F25/12</f>
        <v>0</v>
      </c>
    </row>
    <row r="188" spans="1:6" s="150" customFormat="1" ht="12" x14ac:dyDescent="0.2">
      <c r="A188" s="240" t="s">
        <v>143</v>
      </c>
      <c r="B188" s="58"/>
      <c r="C188" s="58"/>
      <c r="D188" s="58" t="s">
        <v>496</v>
      </c>
      <c r="E188" s="58" t="s">
        <v>268</v>
      </c>
      <c r="F188" s="443">
        <f>4*F26/12</f>
        <v>0</v>
      </c>
    </row>
    <row r="189" spans="1:6" s="150" customFormat="1" ht="12" x14ac:dyDescent="0.2">
      <c r="A189" s="240" t="s">
        <v>144</v>
      </c>
      <c r="B189" s="58"/>
      <c r="C189" s="58"/>
      <c r="D189" s="58" t="s">
        <v>497</v>
      </c>
      <c r="E189" s="58" t="s">
        <v>268</v>
      </c>
      <c r="F189" s="443">
        <f>3*F30/12</f>
        <v>0</v>
      </c>
    </row>
    <row r="190" spans="1:6" s="150" customFormat="1" ht="12" x14ac:dyDescent="0.2">
      <c r="A190" s="240" t="s">
        <v>145</v>
      </c>
      <c r="B190" s="241"/>
      <c r="C190" s="241"/>
      <c r="D190" s="241" t="s">
        <v>498</v>
      </c>
      <c r="E190" s="58" t="s">
        <v>268</v>
      </c>
      <c r="F190" s="443">
        <f>SUM(F187:F189)</f>
        <v>0</v>
      </c>
    </row>
    <row r="191" spans="1:6" s="150" customFormat="1" ht="12" x14ac:dyDescent="0.2">
      <c r="A191" s="240" t="s">
        <v>146</v>
      </c>
      <c r="B191" s="59"/>
      <c r="C191" s="59"/>
      <c r="D191" s="59" t="s">
        <v>499</v>
      </c>
      <c r="E191" s="58" t="s">
        <v>30</v>
      </c>
      <c r="F191" s="458">
        <f>F190*(F63+F64)</f>
        <v>0</v>
      </c>
    </row>
    <row r="192" spans="1:6" s="150" customFormat="1" ht="12" x14ac:dyDescent="0.2">
      <c r="A192" s="147" t="s">
        <v>148</v>
      </c>
      <c r="B192" s="224"/>
      <c r="C192" s="224"/>
      <c r="D192" s="224" t="s">
        <v>159</v>
      </c>
      <c r="E192" s="224"/>
      <c r="F192" s="459"/>
    </row>
    <row r="193" spans="1:7" s="150" customFormat="1" ht="12" x14ac:dyDescent="0.2">
      <c r="A193" s="240" t="s">
        <v>150</v>
      </c>
      <c r="B193" s="162"/>
      <c r="C193" s="162"/>
      <c r="D193" s="162" t="s">
        <v>500</v>
      </c>
      <c r="E193" s="58" t="s">
        <v>268</v>
      </c>
      <c r="F193" s="452">
        <f>8*F25/12</f>
        <v>0</v>
      </c>
    </row>
    <row r="194" spans="1:7" s="150" customFormat="1" ht="12" x14ac:dyDescent="0.2">
      <c r="A194" s="240" t="s">
        <v>151</v>
      </c>
      <c r="B194" s="58"/>
      <c r="C194" s="58"/>
      <c r="D194" s="58" t="s">
        <v>501</v>
      </c>
      <c r="E194" s="58" t="s">
        <v>268</v>
      </c>
      <c r="F194" s="443">
        <f>8*F26/12</f>
        <v>0</v>
      </c>
    </row>
    <row r="195" spans="1:7" s="150" customFormat="1" ht="12" x14ac:dyDescent="0.2">
      <c r="A195" s="240" t="s">
        <v>152</v>
      </c>
      <c r="B195" s="58"/>
      <c r="C195" s="58"/>
      <c r="D195" s="58" t="s">
        <v>502</v>
      </c>
      <c r="E195" s="58" t="s">
        <v>268</v>
      </c>
      <c r="F195" s="443">
        <f>3*F27/12</f>
        <v>0</v>
      </c>
    </row>
    <row r="196" spans="1:7" s="150" customFormat="1" ht="12" x14ac:dyDescent="0.2">
      <c r="A196" s="240" t="s">
        <v>153</v>
      </c>
      <c r="B196" s="58"/>
      <c r="C196" s="58"/>
      <c r="D196" s="58" t="s">
        <v>231</v>
      </c>
      <c r="E196" s="58" t="s">
        <v>268</v>
      </c>
      <c r="F196" s="443">
        <f>4*F28/12</f>
        <v>0</v>
      </c>
    </row>
    <row r="197" spans="1:7" s="150" customFormat="1" ht="12" x14ac:dyDescent="0.2">
      <c r="A197" s="240" t="s">
        <v>154</v>
      </c>
      <c r="B197" s="58"/>
      <c r="C197" s="58"/>
      <c r="D197" s="58" t="s">
        <v>503</v>
      </c>
      <c r="E197" s="58" t="s">
        <v>268</v>
      </c>
      <c r="F197" s="443">
        <f>2*F29/12</f>
        <v>0</v>
      </c>
    </row>
    <row r="198" spans="1:7" s="150" customFormat="1" ht="12" x14ac:dyDescent="0.2">
      <c r="A198" s="240" t="s">
        <v>426</v>
      </c>
      <c r="B198" s="58"/>
      <c r="C198" s="58"/>
      <c r="D198" s="58" t="s">
        <v>504</v>
      </c>
      <c r="E198" s="58" t="s">
        <v>268</v>
      </c>
      <c r="F198" s="443">
        <f>6*F30/12</f>
        <v>0</v>
      </c>
    </row>
    <row r="199" spans="1:7" s="150" customFormat="1" ht="12" x14ac:dyDescent="0.2">
      <c r="A199" s="240" t="s">
        <v>427</v>
      </c>
      <c r="B199" s="58"/>
      <c r="C199" s="58"/>
      <c r="D199" s="58" t="s">
        <v>505</v>
      </c>
      <c r="E199" s="58" t="s">
        <v>268</v>
      </c>
      <c r="F199" s="443">
        <f>2*F31/12</f>
        <v>0</v>
      </c>
    </row>
    <row r="200" spans="1:7" s="150" customFormat="1" ht="12" x14ac:dyDescent="0.2">
      <c r="A200" s="240" t="s">
        <v>428</v>
      </c>
      <c r="B200" s="58"/>
      <c r="C200" s="58"/>
      <c r="D200" s="58" t="s">
        <v>506</v>
      </c>
      <c r="E200" s="58" t="s">
        <v>268</v>
      </c>
      <c r="F200" s="443">
        <f>24*F32/12</f>
        <v>0</v>
      </c>
    </row>
    <row r="201" spans="1:7" s="150" customFormat="1" ht="12" x14ac:dyDescent="0.2">
      <c r="A201" s="240" t="s">
        <v>429</v>
      </c>
      <c r="B201" s="241"/>
      <c r="C201" s="241"/>
      <c r="D201" s="241" t="s">
        <v>432</v>
      </c>
      <c r="E201" s="58" t="s">
        <v>268</v>
      </c>
      <c r="F201" s="452">
        <f>SUM(F193:F200)</f>
        <v>0</v>
      </c>
      <c r="G201" s="265"/>
    </row>
    <row r="202" spans="1:7" s="150" customFormat="1" ht="12" x14ac:dyDescent="0.2">
      <c r="A202" s="240" t="s">
        <v>430</v>
      </c>
      <c r="B202" s="58"/>
      <c r="C202" s="58"/>
      <c r="D202" s="58" t="s">
        <v>507</v>
      </c>
      <c r="E202" s="58" t="s">
        <v>268</v>
      </c>
      <c r="F202" s="458">
        <f>F201*(F65+F66)</f>
        <v>0</v>
      </c>
    </row>
    <row r="203" spans="1:7" s="150" customFormat="1" ht="12" x14ac:dyDescent="0.2">
      <c r="A203" s="147" t="s">
        <v>421</v>
      </c>
      <c r="B203" s="266"/>
      <c r="C203" s="266"/>
      <c r="D203" s="266" t="s">
        <v>508</v>
      </c>
      <c r="E203" s="266" t="s">
        <v>30</v>
      </c>
      <c r="F203" s="460">
        <f>F202+F191</f>
        <v>0</v>
      </c>
    </row>
    <row r="204" spans="1:7" s="150" customFormat="1" ht="12" x14ac:dyDescent="0.2">
      <c r="A204" s="267" t="s">
        <v>422</v>
      </c>
      <c r="B204" s="268"/>
      <c r="C204" s="268"/>
      <c r="D204" s="268" t="s">
        <v>161</v>
      </c>
      <c r="E204" s="268" t="s">
        <v>30</v>
      </c>
      <c r="F204" s="461">
        <f>F203+F184+F178+F172+F169</f>
        <v>0</v>
      </c>
    </row>
    <row r="205" spans="1:7" s="150" customFormat="1" ht="12" x14ac:dyDescent="0.2">
      <c r="A205" s="269"/>
      <c r="B205" s="270"/>
      <c r="C205" s="270"/>
      <c r="D205" s="270"/>
      <c r="E205" s="270"/>
      <c r="F205" s="271"/>
    </row>
    <row r="206" spans="1:7" s="150" customFormat="1" ht="12" x14ac:dyDescent="0.2">
      <c r="A206" s="198">
        <v>3</v>
      </c>
      <c r="B206" s="199"/>
      <c r="C206" s="199"/>
      <c r="D206" s="199" t="s">
        <v>163</v>
      </c>
      <c r="E206" s="152" t="s">
        <v>1</v>
      </c>
      <c r="F206" s="254" t="s">
        <v>2</v>
      </c>
    </row>
    <row r="207" spans="1:7" s="150" customFormat="1" ht="12" x14ac:dyDescent="0.2">
      <c r="A207" s="180" t="s">
        <v>162</v>
      </c>
      <c r="B207" s="183"/>
      <c r="C207" s="183"/>
      <c r="D207" s="241" t="s">
        <v>244</v>
      </c>
      <c r="E207" s="243"/>
      <c r="F207" s="462" t="e">
        <f>F204+F156</f>
        <v>#DIV/0!</v>
      </c>
    </row>
    <row r="208" spans="1:7" s="150" customFormat="1" ht="12" x14ac:dyDescent="0.2">
      <c r="A208" s="260" t="s">
        <v>509</v>
      </c>
      <c r="B208" s="241"/>
      <c r="C208" s="241"/>
      <c r="D208" s="241" t="s">
        <v>510</v>
      </c>
      <c r="E208" s="241" t="s">
        <v>89</v>
      </c>
      <c r="F208" s="247"/>
    </row>
    <row r="209" spans="1:8" s="150" customFormat="1" ht="12" x14ac:dyDescent="0.2">
      <c r="A209" s="272" t="s">
        <v>441</v>
      </c>
      <c r="B209" s="170"/>
      <c r="C209" s="170"/>
      <c r="D209" s="170" t="s">
        <v>511</v>
      </c>
      <c r="E209" s="273" t="s">
        <v>30</v>
      </c>
      <c r="F209" s="463" t="e">
        <f>F208*F207</f>
        <v>#DIV/0!</v>
      </c>
    </row>
    <row r="210" spans="1:8" s="150" customFormat="1" ht="12" x14ac:dyDescent="0.2">
      <c r="A210" s="274"/>
      <c r="B210" s="275"/>
      <c r="C210" s="275"/>
      <c r="D210" s="275"/>
      <c r="E210" s="275"/>
      <c r="F210" s="276"/>
    </row>
    <row r="211" spans="1:8" s="150" customFormat="1" ht="12" x14ac:dyDescent="0.2">
      <c r="A211" s="172">
        <v>4</v>
      </c>
      <c r="B211" s="173"/>
      <c r="C211" s="173"/>
      <c r="D211" s="173" t="s">
        <v>167</v>
      </c>
      <c r="E211" s="277" t="s">
        <v>1</v>
      </c>
      <c r="F211" s="278" t="s">
        <v>2</v>
      </c>
    </row>
    <row r="212" spans="1:8" s="150" customFormat="1" ht="12" x14ac:dyDescent="0.2">
      <c r="A212" s="176" t="s">
        <v>164</v>
      </c>
      <c r="B212" s="177"/>
      <c r="C212" s="177"/>
      <c r="D212" s="279" t="s">
        <v>233</v>
      </c>
      <c r="E212" s="221"/>
      <c r="F212" s="464" t="e">
        <f>F207+F209</f>
        <v>#DIV/0!</v>
      </c>
    </row>
    <row r="213" spans="1:8" s="150" customFormat="1" ht="12" x14ac:dyDescent="0.2">
      <c r="A213" s="187" t="s">
        <v>513</v>
      </c>
      <c r="B213" s="280"/>
      <c r="C213" s="280"/>
      <c r="D213" s="280" t="s">
        <v>449</v>
      </c>
      <c r="E213" s="280" t="s">
        <v>89</v>
      </c>
      <c r="F213" s="281"/>
    </row>
    <row r="214" spans="1:8" s="150" customFormat="1" ht="12" x14ac:dyDescent="0.2">
      <c r="A214" s="282" t="s">
        <v>165</v>
      </c>
      <c r="B214" s="257"/>
      <c r="C214" s="257"/>
      <c r="D214" s="257" t="s">
        <v>512</v>
      </c>
      <c r="E214" s="257" t="s">
        <v>30</v>
      </c>
      <c r="F214" s="454" t="e">
        <f>F212*F213</f>
        <v>#DIV/0!</v>
      </c>
    </row>
    <row r="215" spans="1:8" s="150" customFormat="1" ht="12" x14ac:dyDescent="0.2">
      <c r="A215" s="251"/>
      <c r="B215" s="283"/>
      <c r="C215" s="283"/>
      <c r="D215" s="283"/>
      <c r="E215" s="283"/>
      <c r="F215" s="284"/>
    </row>
    <row r="216" spans="1:8" s="150" customFormat="1" ht="12" x14ac:dyDescent="0.2">
      <c r="A216" s="172">
        <v>5</v>
      </c>
      <c r="B216" s="285"/>
      <c r="C216" s="285"/>
      <c r="D216" s="285" t="s">
        <v>168</v>
      </c>
      <c r="E216" s="277" t="s">
        <v>1</v>
      </c>
      <c r="F216" s="278" t="s">
        <v>2</v>
      </c>
    </row>
    <row r="217" spans="1:8" s="150" customFormat="1" ht="12" x14ac:dyDescent="0.2">
      <c r="A217" s="260" t="s">
        <v>444</v>
      </c>
      <c r="B217" s="241"/>
      <c r="C217" s="241"/>
      <c r="D217" s="241" t="s">
        <v>514</v>
      </c>
      <c r="E217" s="241" t="s">
        <v>30</v>
      </c>
      <c r="F217" s="452" t="e">
        <f>F222*0.03</f>
        <v>#DIV/0!</v>
      </c>
    </row>
    <row r="218" spans="1:8" s="150" customFormat="1" ht="12" x14ac:dyDescent="0.2">
      <c r="A218" s="260" t="s">
        <v>445</v>
      </c>
      <c r="B218" s="241"/>
      <c r="C218" s="241"/>
      <c r="D218" s="241" t="s">
        <v>515</v>
      </c>
      <c r="E218" s="241" t="s">
        <v>30</v>
      </c>
      <c r="F218" s="452" t="e">
        <f>F222*0.0065</f>
        <v>#DIV/0!</v>
      </c>
    </row>
    <row r="219" spans="1:8" s="150" customFormat="1" ht="12" x14ac:dyDescent="0.2">
      <c r="A219" s="260" t="s">
        <v>166</v>
      </c>
      <c r="B219" s="241"/>
      <c r="C219" s="241"/>
      <c r="D219" s="241" t="s">
        <v>537</v>
      </c>
      <c r="E219" s="241" t="s">
        <v>30</v>
      </c>
      <c r="F219" s="452" t="e">
        <f>F222*0.02</f>
        <v>#DIV/0!</v>
      </c>
    </row>
    <row r="220" spans="1:8" s="150" customFormat="1" ht="12" x14ac:dyDescent="0.2">
      <c r="A220" s="272" t="s">
        <v>446</v>
      </c>
      <c r="B220" s="170"/>
      <c r="C220" s="170"/>
      <c r="D220" s="170" t="s">
        <v>169</v>
      </c>
      <c r="E220" s="170" t="s">
        <v>30</v>
      </c>
      <c r="F220" s="463" t="e">
        <f>SUM(F217:F219)</f>
        <v>#DIV/0!</v>
      </c>
    </row>
    <row r="221" spans="1:8" s="150" customFormat="1" ht="12" x14ac:dyDescent="0.2">
      <c r="A221" s="169"/>
      <c r="B221" s="170"/>
      <c r="C221" s="170"/>
      <c r="D221" s="170"/>
      <c r="E221" s="170"/>
      <c r="F221" s="463"/>
    </row>
    <row r="222" spans="1:8" s="150" customFormat="1" ht="12" x14ac:dyDescent="0.2">
      <c r="A222" s="198">
        <v>6</v>
      </c>
      <c r="B222" s="286"/>
      <c r="C222" s="286"/>
      <c r="D222" s="286" t="s">
        <v>538</v>
      </c>
      <c r="E222" s="286" t="s">
        <v>30</v>
      </c>
      <c r="F222" s="465" t="e">
        <f>(F212+F214)/(1-0.0565)</f>
        <v>#DIV/0!</v>
      </c>
      <c r="G222" s="287"/>
      <c r="H222" s="288"/>
    </row>
    <row r="223" spans="1:8" s="150" customFormat="1" ht="12" x14ac:dyDescent="0.2">
      <c r="A223" s="169"/>
      <c r="B223" s="170"/>
      <c r="C223" s="170"/>
      <c r="D223" s="170"/>
      <c r="E223" s="170"/>
      <c r="F223" s="463"/>
    </row>
    <row r="224" spans="1:8" s="150" customFormat="1" ht="12" x14ac:dyDescent="0.2">
      <c r="A224" s="198">
        <v>7</v>
      </c>
      <c r="B224" s="289"/>
      <c r="C224" s="289"/>
      <c r="D224" s="289" t="s">
        <v>516</v>
      </c>
      <c r="E224" s="286" t="s">
        <v>183</v>
      </c>
      <c r="F224" s="465" t="e">
        <f>F222/F78</f>
        <v>#DIV/0!</v>
      </c>
    </row>
    <row r="225" spans="1:6" s="150" customFormat="1" ht="12" x14ac:dyDescent="0.2">
      <c r="A225" s="256"/>
      <c r="B225" s="223"/>
      <c r="C225" s="223"/>
      <c r="D225" s="223"/>
      <c r="E225" s="223"/>
      <c r="F225" s="290"/>
    </row>
    <row r="226" spans="1:6" s="1" customFormat="1" ht="14.25" x14ac:dyDescent="0.2">
      <c r="A226" s="147" t="s">
        <v>529</v>
      </c>
      <c r="B226" s="58"/>
      <c r="C226" s="58"/>
      <c r="D226" s="59"/>
      <c r="E226" s="59"/>
      <c r="F226" s="148"/>
    </row>
    <row r="227" spans="1:6" s="1" customFormat="1" ht="14.25" customHeight="1" x14ac:dyDescent="0.2">
      <c r="A227" s="373" t="s">
        <v>530</v>
      </c>
      <c r="B227" s="374"/>
      <c r="C227" s="374"/>
      <c r="D227" s="374"/>
      <c r="E227" s="374"/>
      <c r="F227" s="375"/>
    </row>
    <row r="228" spans="1:6" s="1" customFormat="1" ht="27.75" customHeight="1" x14ac:dyDescent="0.2">
      <c r="A228" s="363" t="s">
        <v>531</v>
      </c>
      <c r="B228" s="364"/>
      <c r="C228" s="364"/>
      <c r="D228" s="364"/>
      <c r="E228" s="364"/>
      <c r="F228" s="365"/>
    </row>
    <row r="229" spans="1:6" s="1" customFormat="1" ht="36.75" customHeight="1" x14ac:dyDescent="0.2">
      <c r="A229" s="363" t="str">
        <f>Orgânico!A235</f>
        <v>3 - Utilizar cotações para Diesel S 10 e Arla apenas se a frota a ser utilizada tiver fabricação a partir de 2012, com tais exigências. Caso contrário, orçar apenas Diesel comum com base nos preços médios da ANP - Agência Nacional do Petróleo  para Ijuí, com valor médio orçado de R$ 2,60.</v>
      </c>
      <c r="B229" s="364"/>
      <c r="C229" s="364"/>
      <c r="D229" s="364"/>
      <c r="E229" s="364"/>
      <c r="F229" s="365"/>
    </row>
    <row r="230" spans="1:6" s="1" customFormat="1" ht="14.25" x14ac:dyDescent="0.2">
      <c r="A230" s="360"/>
      <c r="B230" s="361"/>
      <c r="C230" s="361"/>
      <c r="D230" s="361"/>
      <c r="E230" s="361"/>
      <c r="F230" s="362"/>
    </row>
    <row r="231" spans="1:6" s="1" customFormat="1" ht="14.25" x14ac:dyDescent="0.2">
      <c r="A231" s="360"/>
      <c r="B231" s="361"/>
      <c r="C231" s="361"/>
      <c r="D231" s="361"/>
      <c r="E231" s="361"/>
      <c r="F231" s="362"/>
    </row>
    <row r="232" spans="1:6" s="1" customFormat="1" ht="14.25" x14ac:dyDescent="0.2">
      <c r="A232" s="321" t="s">
        <v>540</v>
      </c>
      <c r="B232" s="322"/>
      <c r="C232" s="322"/>
      <c r="D232" s="323"/>
      <c r="E232" s="322"/>
      <c r="F232" s="324"/>
    </row>
    <row r="233" spans="1:6" s="1" customFormat="1" ht="14.25" x14ac:dyDescent="0.2">
      <c r="A233" s="321" t="s">
        <v>541</v>
      </c>
      <c r="B233" s="322"/>
      <c r="C233" s="322"/>
      <c r="D233" s="323"/>
      <c r="E233" s="322"/>
      <c r="F233" s="324"/>
    </row>
    <row r="234" spans="1:6" s="1" customFormat="1" ht="14.25" x14ac:dyDescent="0.2">
      <c r="A234" s="321" t="s">
        <v>542</v>
      </c>
      <c r="B234" s="322"/>
      <c r="C234" s="322"/>
      <c r="D234" s="323"/>
      <c r="E234" s="322"/>
      <c r="F234" s="324"/>
    </row>
    <row r="235" spans="1:6" s="1" customFormat="1" ht="14.25" x14ac:dyDescent="0.2">
      <c r="A235" s="321" t="s">
        <v>543</v>
      </c>
      <c r="B235" s="322"/>
      <c r="C235" s="322"/>
      <c r="D235" s="323"/>
      <c r="E235" s="322"/>
      <c r="F235" s="324"/>
    </row>
    <row r="236" spans="1:6" s="1" customFormat="1" ht="18" customHeight="1" x14ac:dyDescent="0.2">
      <c r="A236" s="321" t="s">
        <v>545</v>
      </c>
      <c r="B236" s="322"/>
      <c r="C236" s="322"/>
      <c r="D236" s="322"/>
      <c r="E236" s="322"/>
      <c r="F236" s="324"/>
    </row>
    <row r="237" spans="1:6" s="1" customFormat="1" ht="14.25" x14ac:dyDescent="0.2">
      <c r="A237" s="321" t="s">
        <v>544</v>
      </c>
      <c r="B237" s="322"/>
      <c r="C237" s="322"/>
      <c r="D237" s="322"/>
      <c r="E237" s="337"/>
      <c r="F237" s="324"/>
    </row>
    <row r="238" spans="1:6" s="1" customFormat="1" ht="14.25" x14ac:dyDescent="0.2">
      <c r="A238" s="337"/>
      <c r="B238" s="322"/>
      <c r="C238" s="322"/>
      <c r="D238" s="358" t="s">
        <v>546</v>
      </c>
      <c r="E238" s="358"/>
      <c r="F238" s="359"/>
    </row>
    <row r="239" spans="1:6" s="1" customFormat="1" ht="14.25" x14ac:dyDescent="0.2">
      <c r="A239" s="338"/>
      <c r="B239" s="339"/>
      <c r="C239" s="339"/>
      <c r="D239" s="339"/>
      <c r="E239" s="339"/>
      <c r="F239" s="340"/>
    </row>
    <row r="240" spans="1:6" s="1" customFormat="1" ht="14.25" x14ac:dyDescent="0.2">
      <c r="A240" s="338"/>
      <c r="B240" s="339"/>
      <c r="C240" s="339"/>
      <c r="D240" s="339"/>
      <c r="E240" s="339"/>
      <c r="F240" s="340"/>
    </row>
    <row r="241" spans="1:6" s="1" customFormat="1" ht="14.25" x14ac:dyDescent="0.2">
      <c r="A241" s="338"/>
      <c r="B241" s="339"/>
      <c r="C241" s="339"/>
      <c r="D241" s="339"/>
      <c r="E241" s="339"/>
      <c r="F241" s="340"/>
    </row>
    <row r="242" spans="1:6" s="1" customFormat="1" ht="14.25" x14ac:dyDescent="0.2"/>
  </sheetData>
  <sheetProtection password="81B6" sheet="1" objects="1" scenarios="1"/>
  <mergeCells count="9">
    <mergeCell ref="D238:F238"/>
    <mergeCell ref="A5:F5"/>
    <mergeCell ref="A230:F231"/>
    <mergeCell ref="A229:F229"/>
    <mergeCell ref="B8:D8"/>
    <mergeCell ref="A6:F6"/>
    <mergeCell ref="A7:F7"/>
    <mergeCell ref="A227:F227"/>
    <mergeCell ref="A228:F228"/>
  </mergeCells>
  <conditionalFormatting sqref="F18">
    <cfRule type="cellIs" dxfId="44" priority="50" operator="greaterThan">
      <formula>2.82</formula>
    </cfRule>
  </conditionalFormatting>
  <conditionalFormatting sqref="F19">
    <cfRule type="cellIs" dxfId="43" priority="49" operator="greaterThan">
      <formula>3.13</formula>
    </cfRule>
  </conditionalFormatting>
  <conditionalFormatting sqref="F20">
    <cfRule type="cellIs" dxfId="42" priority="48" operator="greaterThan">
      <formula>2.92</formula>
    </cfRule>
  </conditionalFormatting>
  <conditionalFormatting sqref="F21">
    <cfRule type="cellIs" dxfId="41" priority="47" operator="greaterThan">
      <formula>740</formula>
    </cfRule>
  </conditionalFormatting>
  <conditionalFormatting sqref="F22">
    <cfRule type="cellIs" dxfId="40" priority="46" operator="greaterThan">
      <formula>290</formula>
    </cfRule>
  </conditionalFormatting>
  <conditionalFormatting sqref="F23">
    <cfRule type="cellIs" dxfId="39" priority="45" operator="greaterThan">
      <formula>227</formula>
    </cfRule>
  </conditionalFormatting>
  <conditionalFormatting sqref="F24 F106">
    <cfRule type="cellIs" dxfId="38" priority="44" operator="greaterThan">
      <formula>90</formula>
    </cfRule>
  </conditionalFormatting>
  <conditionalFormatting sqref="F25">
    <cfRule type="cellIs" dxfId="37" priority="43" operator="greaterThan">
      <formula>37</formula>
    </cfRule>
  </conditionalFormatting>
  <conditionalFormatting sqref="F26">
    <cfRule type="cellIs" dxfId="36" priority="42" operator="greaterThan">
      <formula>22.9</formula>
    </cfRule>
  </conditionalFormatting>
  <conditionalFormatting sqref="F27">
    <cfRule type="cellIs" dxfId="35" priority="41" operator="greaterThan">
      <formula>26.9</formula>
    </cfRule>
  </conditionalFormatting>
  <conditionalFormatting sqref="F28">
    <cfRule type="cellIs" dxfId="34" priority="40" operator="greaterThan">
      <formula>14</formula>
    </cfRule>
  </conditionalFormatting>
  <conditionalFormatting sqref="F29">
    <cfRule type="cellIs" dxfId="33" priority="39" operator="greaterThan">
      <formula>6.4</formula>
    </cfRule>
  </conditionalFormatting>
  <conditionalFormatting sqref="F30">
    <cfRule type="cellIs" dxfId="32" priority="38" operator="greaterThan">
      <formula>29.9</formula>
    </cfRule>
  </conditionalFormatting>
  <conditionalFormatting sqref="F31">
    <cfRule type="cellIs" dxfId="31" priority="37" operator="greaterThan">
      <formula>19</formula>
    </cfRule>
  </conditionalFormatting>
  <conditionalFormatting sqref="F32">
    <cfRule type="cellIs" dxfId="30" priority="36" operator="greaterThan">
      <formula>6.9</formula>
    </cfRule>
  </conditionalFormatting>
  <conditionalFormatting sqref="F33">
    <cfRule type="cellIs" dxfId="29" priority="35" operator="greaterThan">
      <formula>1187.64</formula>
    </cfRule>
  </conditionalFormatting>
  <conditionalFormatting sqref="F34">
    <cfRule type="cellIs" dxfId="28" priority="34" operator="greaterThan">
      <formula>897.84</formula>
    </cfRule>
  </conditionalFormatting>
  <conditionalFormatting sqref="F35">
    <cfRule type="cellIs" dxfId="27" priority="33" operator="greaterThan">
      <formula>1350</formula>
    </cfRule>
  </conditionalFormatting>
  <conditionalFormatting sqref="F36">
    <cfRule type="cellIs" dxfId="26" priority="32" operator="greaterThan">
      <formula>953.12</formula>
    </cfRule>
  </conditionalFormatting>
  <conditionalFormatting sqref="F37">
    <cfRule type="cellIs" dxfId="25" priority="31" operator="greaterThan">
      <formula>125200</formula>
    </cfRule>
  </conditionalFormatting>
  <conditionalFormatting sqref="F38">
    <cfRule type="cellIs" dxfId="24" priority="30" operator="greaterThan">
      <formula>22550</formula>
    </cfRule>
  </conditionalFormatting>
  <conditionalFormatting sqref="F39">
    <cfRule type="cellIs" dxfId="23" priority="29" operator="greaterThan">
      <formula>22731</formula>
    </cfRule>
  </conditionalFormatting>
  <conditionalFormatting sqref="F40">
    <cfRule type="cellIs" dxfId="22" priority="28" operator="greaterThan">
      <formula>10.2</formula>
    </cfRule>
  </conditionalFormatting>
  <conditionalFormatting sqref="F41">
    <cfRule type="cellIs" dxfId="21" priority="27" operator="greaterThan">
      <formula>2.45</formula>
    </cfRule>
  </conditionalFormatting>
  <conditionalFormatting sqref="F42">
    <cfRule type="cellIs" dxfId="20" priority="26" operator="greaterThan">
      <formula>0.7917</formula>
    </cfRule>
  </conditionalFormatting>
  <conditionalFormatting sqref="F43">
    <cfRule type="cellIs" dxfId="19" priority="25" operator="greaterThan">
      <formula>110.38</formula>
    </cfRule>
  </conditionalFormatting>
  <conditionalFormatting sqref="F44">
    <cfRule type="cellIs" dxfId="18" priority="24" operator="greaterThan">
      <formula>105.65</formula>
    </cfRule>
  </conditionalFormatting>
  <conditionalFormatting sqref="F45">
    <cfRule type="cellIs" dxfId="17" priority="23" operator="greaterThan">
      <formula>65.09</formula>
    </cfRule>
  </conditionalFormatting>
  <conditionalFormatting sqref="F46">
    <cfRule type="cellIs" dxfId="16" priority="22" operator="greaterThan">
      <formula>1252</formula>
    </cfRule>
  </conditionalFormatting>
  <conditionalFormatting sqref="F47">
    <cfRule type="cellIs" dxfId="15" priority="21" operator="greaterThan">
      <formula>676.5</formula>
    </cfRule>
  </conditionalFormatting>
  <conditionalFormatting sqref="F48">
    <cfRule type="cellIs" dxfId="14" priority="20" operator="greaterThan">
      <formula>2157</formula>
    </cfRule>
  </conditionalFormatting>
  <conditionalFormatting sqref="F49">
    <cfRule type="cellIs" dxfId="13" priority="19" operator="greaterThan">
      <formula>1593.06</formula>
    </cfRule>
  </conditionalFormatting>
  <conditionalFormatting sqref="F86">
    <cfRule type="cellIs" dxfId="12" priority="18" operator="greaterThan">
      <formula>0.37</formula>
    </cfRule>
  </conditionalFormatting>
  <conditionalFormatting sqref="F97">
    <cfRule type="cellIs" dxfId="11" priority="17" operator="greaterThan">
      <formula>85000</formula>
    </cfRule>
  </conditionalFormatting>
  <conditionalFormatting sqref="F100 F102">
    <cfRule type="cellIs" dxfId="10" priority="16" operator="greaterThan">
      <formula>0.0058</formula>
    </cfRule>
  </conditionalFormatting>
  <conditionalFormatting sqref="F110 F113">
    <cfRule type="cellIs" dxfId="9" priority="13" operator="greaterThan">
      <formula>0.0072</formula>
    </cfRule>
  </conditionalFormatting>
  <conditionalFormatting sqref="F117 F120 F148">
    <cfRule type="cellIs" dxfId="8" priority="11" operator="greaterThan">
      <formula>0.0081</formula>
    </cfRule>
  </conditionalFormatting>
  <conditionalFormatting sqref="F130">
    <cfRule type="cellIs" dxfId="7" priority="9" operator="greaterThan">
      <formula>0.093</formula>
    </cfRule>
  </conditionalFormatting>
  <conditionalFormatting sqref="F137">
    <cfRule type="cellIs" dxfId="6" priority="8" operator="greaterThan">
      <formula>30000</formula>
    </cfRule>
  </conditionalFormatting>
  <conditionalFormatting sqref="F140">
    <cfRule type="cellIs" dxfId="5" priority="7" operator="greaterThan">
      <formula>0.0033</formula>
    </cfRule>
  </conditionalFormatting>
  <conditionalFormatting sqref="F144">
    <cfRule type="cellIs" dxfId="4" priority="6" operator="greaterThan">
      <formula>0.0054</formula>
    </cfRule>
  </conditionalFormatting>
  <conditionalFormatting sqref="F208">
    <cfRule type="cellIs" dxfId="3" priority="4" operator="greaterThan">
      <formula>0.05</formula>
    </cfRule>
  </conditionalFormatting>
  <conditionalFormatting sqref="F213">
    <cfRule type="cellIs" dxfId="2" priority="3" operator="greaterThan">
      <formula>0.1</formula>
    </cfRule>
  </conditionalFormatting>
  <conditionalFormatting sqref="F224">
    <cfRule type="cellIs" dxfId="1" priority="2" operator="greaterThan">
      <formula>12.03</formula>
    </cfRule>
  </conditionalFormatting>
  <conditionalFormatting sqref="F222">
    <cfRule type="cellIs" dxfId="0" priority="1" operator="greaterThan">
      <formula>50619.98</formula>
    </cfRule>
  </conditionalFormatting>
  <pageMargins left="0.51181102362204722" right="0.51181102362204722" top="0.78740157480314965" bottom="0.78740157480314965" header="0.31496062992125984" footer="0.31496062992125984"/>
  <pageSetup paperSize="9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9" sqref="F29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Orgânico</vt:lpstr>
      <vt:lpstr>Seco</vt:lpstr>
      <vt:lpstr>Plan5</vt:lpstr>
      <vt:lpstr>Orgânico!Area_de_impressao</vt:lpstr>
      <vt:lpstr>Seco!Area_de_impressao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2014-11-28T16:49:56Z</dcterms:modified>
</cp:coreProperties>
</file>